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6980" windowHeight="940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F51" i="1"/>
  <c r="G51"/>
  <c r="H51"/>
  <c r="I51"/>
  <c r="J51"/>
  <c r="K51"/>
  <c r="L51"/>
  <c r="E51"/>
  <c r="F49"/>
  <c r="G49"/>
  <c r="H49"/>
  <c r="I49"/>
  <c r="J49"/>
  <c r="K49"/>
  <c r="L49"/>
  <c r="E49"/>
  <c r="F48"/>
  <c r="G48"/>
  <c r="H48"/>
  <c r="I48"/>
  <c r="J48"/>
  <c r="K48"/>
  <c r="L48"/>
  <c r="E48"/>
  <c r="F47"/>
  <c r="G47"/>
  <c r="H47"/>
  <c r="I47"/>
  <c r="J47"/>
  <c r="K47"/>
  <c r="L47"/>
  <c r="E47"/>
  <c r="G46"/>
  <c r="F43"/>
  <c r="G43"/>
  <c r="H43"/>
  <c r="I43"/>
  <c r="J43"/>
  <c r="K43"/>
  <c r="L43"/>
  <c r="E43"/>
  <c r="F39"/>
  <c r="G39"/>
  <c r="H39"/>
  <c r="I39"/>
  <c r="J39"/>
  <c r="K39"/>
  <c r="L39"/>
  <c r="E39"/>
  <c r="F36"/>
  <c r="G36"/>
  <c r="H36"/>
  <c r="I36"/>
  <c r="J36"/>
  <c r="K36"/>
  <c r="L36"/>
  <c r="E36"/>
  <c r="F35"/>
  <c r="G35"/>
  <c r="H35"/>
  <c r="I35"/>
  <c r="J35"/>
  <c r="K35"/>
  <c r="L35"/>
  <c r="E35"/>
  <c r="F31"/>
  <c r="G31"/>
  <c r="H31"/>
  <c r="I31"/>
  <c r="J31"/>
  <c r="K31"/>
  <c r="L31"/>
  <c r="E31"/>
  <c r="C30"/>
  <c r="F30"/>
  <c r="G30"/>
  <c r="H30"/>
  <c r="I30"/>
  <c r="J30"/>
  <c r="K30"/>
  <c r="L30"/>
  <c r="E30"/>
  <c r="F29"/>
  <c r="G29"/>
  <c r="H29"/>
  <c r="I29"/>
  <c r="J29"/>
  <c r="K29"/>
  <c r="L29"/>
  <c r="E29"/>
  <c r="F28"/>
  <c r="G28"/>
  <c r="H28"/>
  <c r="I28"/>
  <c r="J28"/>
  <c r="K28"/>
  <c r="L28"/>
  <c r="E28"/>
  <c r="F26"/>
  <c r="G26"/>
  <c r="H26"/>
  <c r="I26"/>
  <c r="J26"/>
  <c r="K26"/>
  <c r="L26"/>
  <c r="E26"/>
  <c r="F25"/>
  <c r="G25"/>
  <c r="H25"/>
  <c r="I25"/>
  <c r="J25"/>
  <c r="K25"/>
  <c r="L25"/>
  <c r="E25"/>
  <c r="F24"/>
  <c r="G24"/>
  <c r="H24"/>
  <c r="I24"/>
  <c r="J24"/>
  <c r="K24"/>
  <c r="L24"/>
  <c r="E24"/>
  <c r="F23"/>
  <c r="G23"/>
  <c r="H23"/>
  <c r="I23"/>
  <c r="J23"/>
  <c r="K23"/>
  <c r="L23"/>
  <c r="E23"/>
  <c r="F22"/>
  <c r="G22"/>
  <c r="H22"/>
  <c r="I22"/>
  <c r="J22"/>
  <c r="K22"/>
  <c r="L22"/>
  <c r="E22"/>
  <c r="F21"/>
  <c r="G21"/>
  <c r="H21"/>
  <c r="I21"/>
  <c r="J21"/>
  <c r="K21"/>
  <c r="L21"/>
  <c r="E21"/>
  <c r="F20"/>
  <c r="G20"/>
  <c r="H20"/>
  <c r="I20"/>
  <c r="J20"/>
  <c r="K20"/>
  <c r="L20"/>
  <c r="E20"/>
  <c r="F19"/>
  <c r="G19"/>
  <c r="H19"/>
  <c r="I19"/>
  <c r="J19"/>
  <c r="K19"/>
  <c r="L19"/>
  <c r="E19"/>
  <c r="F18"/>
  <c r="G18"/>
  <c r="H18"/>
  <c r="I18"/>
  <c r="J18"/>
  <c r="K18"/>
  <c r="L18"/>
  <c r="E18"/>
  <c r="L17"/>
  <c r="F17"/>
  <c r="G17"/>
  <c r="H17"/>
  <c r="I17"/>
  <c r="J17"/>
  <c r="K17"/>
  <c r="E17"/>
  <c r="E14"/>
  <c r="F12"/>
  <c r="G12"/>
  <c r="H12"/>
  <c r="I12"/>
  <c r="J12"/>
  <c r="K12"/>
  <c r="L12"/>
  <c r="E12"/>
  <c r="F11"/>
  <c r="G11"/>
  <c r="H11"/>
  <c r="I11"/>
  <c r="J11"/>
  <c r="K11"/>
  <c r="L11"/>
  <c r="E11"/>
  <c r="F10"/>
  <c r="G10"/>
  <c r="H10"/>
  <c r="I10"/>
  <c r="J10"/>
  <c r="K10"/>
  <c r="L10"/>
  <c r="E10"/>
  <c r="CU46"/>
  <c r="CU29"/>
  <c r="DD29"/>
  <c r="DC29"/>
  <c r="DB29"/>
  <c r="DA29"/>
  <c r="CZ29"/>
  <c r="CX29"/>
  <c r="CW29"/>
  <c r="CU43"/>
  <c r="DD43"/>
  <c r="DC43"/>
  <c r="DB43"/>
  <c r="DA43"/>
  <c r="CZ43"/>
  <c r="CY43"/>
  <c r="CX43"/>
  <c r="CW43"/>
  <c r="CI46"/>
  <c r="DD14"/>
  <c r="DC14"/>
  <c r="DB14"/>
  <c r="DA14"/>
  <c r="CZ14"/>
  <c r="CY14"/>
  <c r="CX14"/>
  <c r="CW14"/>
  <c r="CU14"/>
  <c r="DD12"/>
  <c r="DC12"/>
  <c r="DB12"/>
  <c r="DA12"/>
  <c r="CZ12"/>
  <c r="CY12"/>
  <c r="CX12"/>
  <c r="CW12"/>
  <c r="DD10"/>
  <c r="DC10"/>
  <c r="DB10"/>
  <c r="DA10"/>
  <c r="CZ10"/>
  <c r="CY10"/>
  <c r="CX10"/>
  <c r="CW10"/>
  <c r="CU4"/>
  <c r="CK14"/>
  <c r="CL14"/>
  <c r="CM14"/>
  <c r="CN14"/>
  <c r="CO14"/>
  <c r="CP14"/>
  <c r="CQ14"/>
  <c r="CR14"/>
  <c r="CI29"/>
  <c r="CR29"/>
  <c r="CQ29"/>
  <c r="CP29"/>
  <c r="CO29"/>
  <c r="CN29"/>
  <c r="CM29"/>
  <c r="CL29"/>
  <c r="CK29"/>
  <c r="CN58"/>
  <c r="CM58"/>
  <c r="CL58"/>
  <c r="CK58"/>
  <c r="CI30"/>
  <c r="CI26"/>
  <c r="CI23"/>
  <c r="CI21"/>
  <c r="CR19"/>
  <c r="CQ19"/>
  <c r="CP19"/>
  <c r="CO19"/>
  <c r="CN19"/>
  <c r="CM19"/>
  <c r="CL19"/>
  <c r="CK19"/>
  <c r="CR18"/>
  <c r="CQ18"/>
  <c r="CP18"/>
  <c r="CO18"/>
  <c r="CN18"/>
  <c r="CM18"/>
  <c r="CL18"/>
  <c r="CK18"/>
  <c r="CI18" s="1"/>
  <c r="CR12"/>
  <c r="CQ12"/>
  <c r="CP12"/>
  <c r="CO12"/>
  <c r="CN12"/>
  <c r="CM12"/>
  <c r="CL12"/>
  <c r="CK12"/>
  <c r="CI12" s="1"/>
  <c r="CR10"/>
  <c r="CQ10"/>
  <c r="CP10"/>
  <c r="CO10"/>
  <c r="CN10"/>
  <c r="CM10"/>
  <c r="CL10"/>
  <c r="CK10"/>
  <c r="CU10" l="1"/>
  <c r="CI10"/>
  <c r="CU56" l="1"/>
  <c r="CU55"/>
  <c r="CU54"/>
  <c r="CU53"/>
  <c r="CU52"/>
  <c r="CU51"/>
  <c r="CU50"/>
  <c r="DD49"/>
  <c r="DC49"/>
  <c r="DB49"/>
  <c r="DA49"/>
  <c r="CZ49"/>
  <c r="CY49"/>
  <c r="CX49"/>
  <c r="CW49"/>
  <c r="CU49" s="1"/>
  <c r="CU48"/>
  <c r="CU47"/>
  <c r="CU45"/>
  <c r="CU44"/>
  <c r="CU42"/>
  <c r="CU41"/>
  <c r="CU40"/>
  <c r="CU39"/>
  <c r="CU38"/>
  <c r="CU37"/>
  <c r="CU36"/>
  <c r="CU35"/>
  <c r="CU34"/>
  <c r="CU33"/>
  <c r="CU32"/>
  <c r="CU31"/>
  <c r="CU30"/>
  <c r="CU28"/>
  <c r="CU27"/>
  <c r="CU26"/>
  <c r="CU25"/>
  <c r="CU24"/>
  <c r="CU23"/>
  <c r="CU22"/>
  <c r="CU21"/>
  <c r="DD20"/>
  <c r="DC20"/>
  <c r="DB20"/>
  <c r="DA20"/>
  <c r="CZ20"/>
  <c r="CY20"/>
  <c r="CX20"/>
  <c r="CW20"/>
  <c r="CU20"/>
  <c r="DD19"/>
  <c r="DC19"/>
  <c r="DB19"/>
  <c r="DA19"/>
  <c r="CZ19"/>
  <c r="CY19"/>
  <c r="CX19"/>
  <c r="CW19"/>
  <c r="DD18"/>
  <c r="DD58" s="1"/>
  <c r="DC18"/>
  <c r="DB18"/>
  <c r="DB58" s="1"/>
  <c r="DA18"/>
  <c r="CZ18"/>
  <c r="CZ58" s="1"/>
  <c r="CY18"/>
  <c r="CX18"/>
  <c r="CX58" s="1"/>
  <c r="CW18"/>
  <c r="CV17"/>
  <c r="CV58" s="1"/>
  <c r="CV14"/>
  <c r="CU13"/>
  <c r="CU12"/>
  <c r="CU11"/>
  <c r="CI56"/>
  <c r="CI55"/>
  <c r="CI54"/>
  <c r="CI53"/>
  <c r="CI52"/>
  <c r="CI51"/>
  <c r="CI50"/>
  <c r="CR49"/>
  <c r="CQ49"/>
  <c r="CP49"/>
  <c r="CO49"/>
  <c r="CN49"/>
  <c r="CM49"/>
  <c r="CL49"/>
  <c r="CK49"/>
  <c r="CI49"/>
  <c r="CI48"/>
  <c r="CI47"/>
  <c r="CI45"/>
  <c r="CI44"/>
  <c r="CI43"/>
  <c r="CI42"/>
  <c r="CI41"/>
  <c r="CI40"/>
  <c r="CI39"/>
  <c r="CI38"/>
  <c r="CI37"/>
  <c r="CI36"/>
  <c r="CI35"/>
  <c r="CI34"/>
  <c r="CI33"/>
  <c r="CI32"/>
  <c r="CI31"/>
  <c r="CI28"/>
  <c r="CI27"/>
  <c r="CI25"/>
  <c r="CI24"/>
  <c r="CI22"/>
  <c r="CR20"/>
  <c r="CQ20"/>
  <c r="CP20"/>
  <c r="CO20"/>
  <c r="CN20"/>
  <c r="CM20"/>
  <c r="CL20"/>
  <c r="CK20"/>
  <c r="CI20" s="1"/>
  <c r="CR58"/>
  <c r="CP58"/>
  <c r="CJ17"/>
  <c r="CJ58" s="1"/>
  <c r="CJ14"/>
  <c r="CI13"/>
  <c r="CI11"/>
  <c r="CI4"/>
  <c r="C27"/>
  <c r="E46"/>
  <c r="F33"/>
  <c r="G33"/>
  <c r="H33"/>
  <c r="I33"/>
  <c r="J33"/>
  <c r="K33"/>
  <c r="L33"/>
  <c r="E33"/>
  <c r="C33" s="1"/>
  <c r="C43"/>
  <c r="G37"/>
  <c r="C37" s="1"/>
  <c r="C35"/>
  <c r="C31"/>
  <c r="C28"/>
  <c r="C23"/>
  <c r="C22"/>
  <c r="C17"/>
  <c r="BT26"/>
  <c r="BS26"/>
  <c r="BR26"/>
  <c r="BQ26"/>
  <c r="BP26"/>
  <c r="BO26"/>
  <c r="BN26"/>
  <c r="BM26"/>
  <c r="BH26"/>
  <c r="BG26"/>
  <c r="BF26"/>
  <c r="BE26"/>
  <c r="BD26"/>
  <c r="BC26"/>
  <c r="BB26"/>
  <c r="BA26"/>
  <c r="AV26"/>
  <c r="AU26"/>
  <c r="AT26"/>
  <c r="AS26"/>
  <c r="AR26"/>
  <c r="AQ26"/>
  <c r="AP26"/>
  <c r="AO26"/>
  <c r="AJ26"/>
  <c r="AI26"/>
  <c r="AH26"/>
  <c r="AG26"/>
  <c r="AF26"/>
  <c r="AE26"/>
  <c r="AD26"/>
  <c r="AC26"/>
  <c r="X26"/>
  <c r="W26"/>
  <c r="V26"/>
  <c r="U26"/>
  <c r="T26"/>
  <c r="S26"/>
  <c r="R26"/>
  <c r="Q26"/>
  <c r="C26" s="1"/>
  <c r="CA12"/>
  <c r="CB12"/>
  <c r="CF12"/>
  <c r="CE12"/>
  <c r="CD12"/>
  <c r="CC12"/>
  <c r="BZ12"/>
  <c r="CF36"/>
  <c r="CE36"/>
  <c r="CD36"/>
  <c r="CC36"/>
  <c r="BW36" s="1"/>
  <c r="BW33"/>
  <c r="CF29"/>
  <c r="CE29"/>
  <c r="CD29"/>
  <c r="CC29"/>
  <c r="CB29"/>
  <c r="CA29"/>
  <c r="BZ29"/>
  <c r="BY29"/>
  <c r="CF19"/>
  <c r="CE19"/>
  <c r="CD19"/>
  <c r="CC19"/>
  <c r="CB19"/>
  <c r="CA19"/>
  <c r="BZ19"/>
  <c r="BY19"/>
  <c r="CF18"/>
  <c r="CE18"/>
  <c r="CD18"/>
  <c r="CC18"/>
  <c r="CB18"/>
  <c r="CA18"/>
  <c r="BZ18"/>
  <c r="BY18"/>
  <c r="BY10"/>
  <c r="CU19" l="1"/>
  <c r="C51"/>
  <c r="CW58"/>
  <c r="CY58"/>
  <c r="DA58"/>
  <c r="DC58"/>
  <c r="CI19"/>
  <c r="CU17"/>
  <c r="CU18"/>
  <c r="C36"/>
  <c r="CO58"/>
  <c r="CQ58"/>
  <c r="CI17"/>
  <c r="CI14" l="1"/>
  <c r="CU58"/>
  <c r="CI58"/>
  <c r="BY12"/>
  <c r="CF10"/>
  <c r="CF14" s="1"/>
  <c r="CE10"/>
  <c r="CE14" s="1"/>
  <c r="CD10"/>
  <c r="CD14" s="1"/>
  <c r="CC10"/>
  <c r="CC14" s="1"/>
  <c r="CB10"/>
  <c r="CB14" s="1"/>
  <c r="CA10"/>
  <c r="CA14" s="1"/>
  <c r="BZ10"/>
  <c r="BZ14" s="1"/>
  <c r="BW56"/>
  <c r="BW55"/>
  <c r="BW54"/>
  <c r="BW53"/>
  <c r="BW52"/>
  <c r="BW51"/>
  <c r="BW50"/>
  <c r="CF49"/>
  <c r="CE49"/>
  <c r="CD49"/>
  <c r="CC49"/>
  <c r="CB49"/>
  <c r="CA49"/>
  <c r="BZ49"/>
  <c r="BY49"/>
  <c r="BW48"/>
  <c r="BW47"/>
  <c r="BW46"/>
  <c r="BW45"/>
  <c r="BW44"/>
  <c r="BW43"/>
  <c r="BW42"/>
  <c r="BW41"/>
  <c r="BW40"/>
  <c r="BW39"/>
  <c r="BW38"/>
  <c r="BW37"/>
  <c r="BW35"/>
  <c r="BW34"/>
  <c r="BW32"/>
  <c r="BW31"/>
  <c r="BW30"/>
  <c r="BW29"/>
  <c r="BW28"/>
  <c r="BW27"/>
  <c r="BW26"/>
  <c r="BW25"/>
  <c r="BW24"/>
  <c r="BW23"/>
  <c r="BW22"/>
  <c r="BW21"/>
  <c r="CF20"/>
  <c r="CE20"/>
  <c r="CD20"/>
  <c r="CC20"/>
  <c r="CB20"/>
  <c r="CA20"/>
  <c r="BZ20"/>
  <c r="BY20"/>
  <c r="BW20" s="1"/>
  <c r="BX17"/>
  <c r="BX14"/>
  <c r="BW13"/>
  <c r="BW11"/>
  <c r="BW4"/>
  <c r="BZ58" l="1"/>
  <c r="CB58"/>
  <c r="CD58"/>
  <c r="CF58"/>
  <c r="BX58"/>
  <c r="BW17"/>
  <c r="BY58"/>
  <c r="CA58"/>
  <c r="CC58"/>
  <c r="CE58"/>
  <c r="BW12"/>
  <c r="BY14"/>
  <c r="BW14" s="1"/>
  <c r="BW49"/>
  <c r="BW19"/>
  <c r="BW10"/>
  <c r="BW18"/>
  <c r="BW58" l="1"/>
  <c r="BM12"/>
  <c r="BT12"/>
  <c r="BS12"/>
  <c r="BR12"/>
  <c r="BQ12"/>
  <c r="BP12"/>
  <c r="BO12"/>
  <c r="BN12"/>
  <c r="BT10"/>
  <c r="BS10"/>
  <c r="BR10"/>
  <c r="BQ10"/>
  <c r="BP10"/>
  <c r="BO10"/>
  <c r="BN10"/>
  <c r="BM10"/>
  <c r="BK12" l="1"/>
  <c r="BK10"/>
  <c r="BK46" l="1"/>
  <c r="BK36"/>
  <c r="BR29"/>
  <c r="BQ29"/>
  <c r="BP29"/>
  <c r="BN29"/>
  <c r="BT29"/>
  <c r="BS29"/>
  <c r="BO29"/>
  <c r="BM29"/>
  <c r="BK29" s="1"/>
  <c r="BT19"/>
  <c r="BS19"/>
  <c r="BR19"/>
  <c r="BQ19"/>
  <c r="BP19"/>
  <c r="BO19"/>
  <c r="BN19"/>
  <c r="BM19"/>
  <c r="BT18"/>
  <c r="BS18"/>
  <c r="BR18"/>
  <c r="BQ18"/>
  <c r="BP18"/>
  <c r="BO18"/>
  <c r="BN18"/>
  <c r="BM18"/>
  <c r="BK56" l="1"/>
  <c r="BK55"/>
  <c r="BK54"/>
  <c r="BK53"/>
  <c r="BK52"/>
  <c r="BK51"/>
  <c r="BK50"/>
  <c r="BT49"/>
  <c r="BS49"/>
  <c r="BR49"/>
  <c r="BQ49"/>
  <c r="BP49"/>
  <c r="BO49"/>
  <c r="BN49"/>
  <c r="BM49"/>
  <c r="BK48"/>
  <c r="BK47"/>
  <c r="BK45"/>
  <c r="BK44"/>
  <c r="BK43"/>
  <c r="BK42"/>
  <c r="BK41"/>
  <c r="BK40"/>
  <c r="BK39"/>
  <c r="BK38"/>
  <c r="BK37"/>
  <c r="BK35"/>
  <c r="BK34"/>
  <c r="BK33"/>
  <c r="BK32"/>
  <c r="BK31"/>
  <c r="BK30"/>
  <c r="BK28"/>
  <c r="BK27"/>
  <c r="BK26"/>
  <c r="BK25"/>
  <c r="BK24"/>
  <c r="BK23"/>
  <c r="BK22"/>
  <c r="BK21"/>
  <c r="BT20"/>
  <c r="BS20"/>
  <c r="BS58" s="1"/>
  <c r="BR20"/>
  <c r="BQ20"/>
  <c r="BQ58" s="1"/>
  <c r="BP20"/>
  <c r="BO20"/>
  <c r="BN20"/>
  <c r="BM20"/>
  <c r="BK20" s="1"/>
  <c r="BM58"/>
  <c r="BL17"/>
  <c r="BL58" s="1"/>
  <c r="BK17"/>
  <c r="BL14"/>
  <c r="BK13"/>
  <c r="BK11"/>
  <c r="BT14"/>
  <c r="BS14"/>
  <c r="BR14"/>
  <c r="BQ14"/>
  <c r="BP14"/>
  <c r="BO14"/>
  <c r="BN14"/>
  <c r="BM14"/>
  <c r="BK4"/>
  <c r="C48"/>
  <c r="C47"/>
  <c r="BH29"/>
  <c r="BG29"/>
  <c r="BF29"/>
  <c r="BE29"/>
  <c r="BD29"/>
  <c r="BC29"/>
  <c r="BB29"/>
  <c r="BA29"/>
  <c r="C29" s="1"/>
  <c r="BH12"/>
  <c r="BG12"/>
  <c r="BF12"/>
  <c r="BE12"/>
  <c r="BD12"/>
  <c r="BC12"/>
  <c r="BB12"/>
  <c r="BO58" l="1"/>
  <c r="BK49"/>
  <c r="BK19"/>
  <c r="BK18"/>
  <c r="BK14"/>
  <c r="BN58"/>
  <c r="BP58"/>
  <c r="BR58"/>
  <c r="BT58"/>
  <c r="BA12"/>
  <c r="AY31"/>
  <c r="AY12"/>
  <c r="BH10"/>
  <c r="BG10"/>
  <c r="BF10"/>
  <c r="BE10"/>
  <c r="BD10"/>
  <c r="BC10"/>
  <c r="BB10"/>
  <c r="BA10"/>
  <c r="AV21"/>
  <c r="C21" s="1"/>
  <c r="BK58" l="1"/>
  <c r="AY56"/>
  <c r="AY55"/>
  <c r="AY54"/>
  <c r="AY53"/>
  <c r="AY52"/>
  <c r="AY51"/>
  <c r="AY50"/>
  <c r="BH49"/>
  <c r="BG49"/>
  <c r="BF49"/>
  <c r="BE49"/>
  <c r="BD49"/>
  <c r="BC49"/>
  <c r="BB49"/>
  <c r="BA49"/>
  <c r="AY48"/>
  <c r="AY47"/>
  <c r="AY46"/>
  <c r="AY45"/>
  <c r="AY44"/>
  <c r="AY43"/>
  <c r="AY42"/>
  <c r="AY41"/>
  <c r="AY40"/>
  <c r="AY39"/>
  <c r="AY38"/>
  <c r="AY37"/>
  <c r="AY36"/>
  <c r="AY35"/>
  <c r="AY34"/>
  <c r="AY33"/>
  <c r="AY32"/>
  <c r="AY30"/>
  <c r="AY29"/>
  <c r="AY28"/>
  <c r="AY27"/>
  <c r="AY25"/>
  <c r="AY24"/>
  <c r="AY23"/>
  <c r="AY22"/>
  <c r="AY21"/>
  <c r="BH20"/>
  <c r="BG20"/>
  <c r="BF20"/>
  <c r="BE20"/>
  <c r="BD20"/>
  <c r="BC20"/>
  <c r="BB20"/>
  <c r="BA20"/>
  <c r="BH18"/>
  <c r="BF18"/>
  <c r="BD18"/>
  <c r="BB18"/>
  <c r="AZ17"/>
  <c r="AZ14"/>
  <c r="AY13"/>
  <c r="BH14"/>
  <c r="BG14"/>
  <c r="BF14"/>
  <c r="BE14"/>
  <c r="BD14"/>
  <c r="BC14"/>
  <c r="BB14"/>
  <c r="BA14"/>
  <c r="AY11"/>
  <c r="AY10"/>
  <c r="AY4"/>
  <c r="AM47"/>
  <c r="F50"/>
  <c r="G50"/>
  <c r="H50"/>
  <c r="I50"/>
  <c r="J50"/>
  <c r="K50"/>
  <c r="L50"/>
  <c r="E50"/>
  <c r="AV14"/>
  <c r="AR14"/>
  <c r="AP14"/>
  <c r="AJ12"/>
  <c r="AI12"/>
  <c r="AH12"/>
  <c r="AG12"/>
  <c r="AF12"/>
  <c r="AE12"/>
  <c r="AD12"/>
  <c r="AC12"/>
  <c r="X12"/>
  <c r="W12"/>
  <c r="V12"/>
  <c r="U12"/>
  <c r="T12"/>
  <c r="S12"/>
  <c r="R12"/>
  <c r="Q12"/>
  <c r="AU14"/>
  <c r="AT14"/>
  <c r="AS14"/>
  <c r="AQ14"/>
  <c r="AO14"/>
  <c r="AJ10"/>
  <c r="AI10"/>
  <c r="AH10"/>
  <c r="AG10"/>
  <c r="AF10"/>
  <c r="AE10"/>
  <c r="AD10"/>
  <c r="AC10"/>
  <c r="X10"/>
  <c r="W10"/>
  <c r="V10"/>
  <c r="U10"/>
  <c r="T10"/>
  <c r="S10"/>
  <c r="R10"/>
  <c r="Q10"/>
  <c r="AY20" l="1"/>
  <c r="C39"/>
  <c r="F14"/>
  <c r="AY49"/>
  <c r="J14"/>
  <c r="L14"/>
  <c r="AY14"/>
  <c r="Q14"/>
  <c r="G14"/>
  <c r="I14"/>
  <c r="K14"/>
  <c r="AA10"/>
  <c r="H14"/>
  <c r="AY17"/>
  <c r="O10"/>
  <c r="O12"/>
  <c r="AY26"/>
  <c r="BA18"/>
  <c r="BC18"/>
  <c r="BE18"/>
  <c r="BG18"/>
  <c r="BB19"/>
  <c r="BB58" s="1"/>
  <c r="BD19"/>
  <c r="BD58" s="1"/>
  <c r="BF19"/>
  <c r="BF58" s="1"/>
  <c r="BH19"/>
  <c r="AZ58"/>
  <c r="BH58"/>
  <c r="BA19"/>
  <c r="BC19"/>
  <c r="BE19"/>
  <c r="BG19"/>
  <c r="AM12"/>
  <c r="C14" l="1"/>
  <c r="BE58"/>
  <c r="BG58"/>
  <c r="BC58"/>
  <c r="AY18"/>
  <c r="BA58"/>
  <c r="AY19"/>
  <c r="AV49"/>
  <c r="AU49"/>
  <c r="AT49"/>
  <c r="AS49"/>
  <c r="AR49"/>
  <c r="AQ49"/>
  <c r="AP49"/>
  <c r="AO49"/>
  <c r="AV20"/>
  <c r="AU20"/>
  <c r="AT20"/>
  <c r="AS20"/>
  <c r="AR20"/>
  <c r="AQ20"/>
  <c r="AP20"/>
  <c r="AO20"/>
  <c r="C49" l="1"/>
  <c r="AY58"/>
  <c r="AQ18"/>
  <c r="AS19"/>
  <c r="AU19"/>
  <c r="AR19"/>
  <c r="AT19"/>
  <c r="AV19"/>
  <c r="AM35"/>
  <c r="AQ19"/>
  <c r="AQ58" s="1"/>
  <c r="AM31"/>
  <c r="AM29"/>
  <c r="AP19" l="1"/>
  <c r="AP18"/>
  <c r="AM4"/>
  <c r="AM56"/>
  <c r="AM55"/>
  <c r="AM54"/>
  <c r="AM53"/>
  <c r="AM52"/>
  <c r="AM51"/>
  <c r="AM50"/>
  <c r="AM49"/>
  <c r="AM48"/>
  <c r="AM46"/>
  <c r="AM45"/>
  <c r="AM44"/>
  <c r="AM43"/>
  <c r="AM42"/>
  <c r="AM41"/>
  <c r="AM40"/>
  <c r="AM39"/>
  <c r="AM38"/>
  <c r="AM37"/>
  <c r="AM36"/>
  <c r="AM34"/>
  <c r="AM33"/>
  <c r="AM32"/>
  <c r="AM30"/>
  <c r="AM28"/>
  <c r="AM27"/>
  <c r="AM26"/>
  <c r="AM25"/>
  <c r="AM24"/>
  <c r="AM23"/>
  <c r="AM22"/>
  <c r="AM21"/>
  <c r="AM20"/>
  <c r="AV18"/>
  <c r="AU18"/>
  <c r="AT18"/>
  <c r="AS18"/>
  <c r="AR18"/>
  <c r="AN17"/>
  <c r="AN58" s="1"/>
  <c r="AN14"/>
  <c r="AM14" s="1"/>
  <c r="AM13"/>
  <c r="AM11"/>
  <c r="AM10"/>
  <c r="AA56"/>
  <c r="O56"/>
  <c r="L56"/>
  <c r="K56"/>
  <c r="J56"/>
  <c r="I56"/>
  <c r="H56"/>
  <c r="G56"/>
  <c r="F56"/>
  <c r="E56"/>
  <c r="C56" s="1"/>
  <c r="AA55"/>
  <c r="O55"/>
  <c r="L55"/>
  <c r="K55"/>
  <c r="J55"/>
  <c r="I55"/>
  <c r="H55"/>
  <c r="G55"/>
  <c r="F55"/>
  <c r="E55"/>
  <c r="C55" s="1"/>
  <c r="AA54"/>
  <c r="O54"/>
  <c r="L54"/>
  <c r="K54"/>
  <c r="K57" s="1"/>
  <c r="J54"/>
  <c r="I54"/>
  <c r="I57" s="1"/>
  <c r="H54"/>
  <c r="G54"/>
  <c r="G57" s="1"/>
  <c r="F54"/>
  <c r="E54"/>
  <c r="E57" s="1"/>
  <c r="AA53"/>
  <c r="O53"/>
  <c r="AA52"/>
  <c r="AA51"/>
  <c r="O51"/>
  <c r="AA50"/>
  <c r="O50"/>
  <c r="C50"/>
  <c r="AA49"/>
  <c r="O49"/>
  <c r="AA48"/>
  <c r="O48"/>
  <c r="AA47"/>
  <c r="O47"/>
  <c r="AA46"/>
  <c r="O46"/>
  <c r="L46"/>
  <c r="K46"/>
  <c r="J46"/>
  <c r="I46"/>
  <c r="H46"/>
  <c r="F46"/>
  <c r="C46" s="1"/>
  <c r="C52" s="1"/>
  <c r="AA45"/>
  <c r="O45"/>
  <c r="AA44"/>
  <c r="O44"/>
  <c r="AA43"/>
  <c r="O43"/>
  <c r="AA42"/>
  <c r="O42"/>
  <c r="C42"/>
  <c r="AA41"/>
  <c r="O41"/>
  <c r="C41"/>
  <c r="AA40"/>
  <c r="O40"/>
  <c r="C40"/>
  <c r="AA39"/>
  <c r="O39"/>
  <c r="AA38"/>
  <c r="O38"/>
  <c r="C38"/>
  <c r="AA37"/>
  <c r="O37"/>
  <c r="AA36"/>
  <c r="O36"/>
  <c r="AA35"/>
  <c r="O35"/>
  <c r="AA34"/>
  <c r="O34"/>
  <c r="C34"/>
  <c r="AA33"/>
  <c r="O33"/>
  <c r="AA32"/>
  <c r="O32"/>
  <c r="C32"/>
  <c r="AA31"/>
  <c r="O31"/>
  <c r="AA30"/>
  <c r="O30"/>
  <c r="AA29"/>
  <c r="O29"/>
  <c r="AA28"/>
  <c r="O28"/>
  <c r="AA27"/>
  <c r="O27"/>
  <c r="AA26"/>
  <c r="O26"/>
  <c r="AA25"/>
  <c r="T25"/>
  <c r="S25"/>
  <c r="C25" s="1"/>
  <c r="R25"/>
  <c r="P25"/>
  <c r="AA24"/>
  <c r="T24"/>
  <c r="S24"/>
  <c r="R24"/>
  <c r="P24"/>
  <c r="P58" s="1"/>
  <c r="AA23"/>
  <c r="O23"/>
  <c r="AA22"/>
  <c r="O22"/>
  <c r="AA21"/>
  <c r="O21"/>
  <c r="AJ20"/>
  <c r="AI20"/>
  <c r="AH20"/>
  <c r="AG20"/>
  <c r="AF20"/>
  <c r="AE20"/>
  <c r="AD20"/>
  <c r="AC20"/>
  <c r="C20" s="1"/>
  <c r="O20"/>
  <c r="AJ19"/>
  <c r="AI19"/>
  <c r="AH19"/>
  <c r="AG19"/>
  <c r="AF19"/>
  <c r="AE19"/>
  <c r="AD19"/>
  <c r="AC19"/>
  <c r="X19"/>
  <c r="W19"/>
  <c r="V19"/>
  <c r="U19"/>
  <c r="T19"/>
  <c r="S19"/>
  <c r="R19"/>
  <c r="Q19"/>
  <c r="AJ18"/>
  <c r="AI18"/>
  <c r="AI58" s="1"/>
  <c r="AH18"/>
  <c r="AG18"/>
  <c r="AG58" s="1"/>
  <c r="AF18"/>
  <c r="AE18"/>
  <c r="AE58" s="1"/>
  <c r="AD18"/>
  <c r="AC18"/>
  <c r="AC58" s="1"/>
  <c r="X18"/>
  <c r="W18"/>
  <c r="V18"/>
  <c r="U18"/>
  <c r="T18"/>
  <c r="S18"/>
  <c r="R18"/>
  <c r="Q18"/>
  <c r="AB17"/>
  <c r="AB58" s="1"/>
  <c r="O17"/>
  <c r="AJ14"/>
  <c r="AI14"/>
  <c r="AH14"/>
  <c r="AG14"/>
  <c r="AF14"/>
  <c r="AE14"/>
  <c r="AD14"/>
  <c r="AC14"/>
  <c r="AB14"/>
  <c r="X14"/>
  <c r="W14"/>
  <c r="V14"/>
  <c r="U14"/>
  <c r="T14"/>
  <c r="S14"/>
  <c r="R14"/>
  <c r="P14"/>
  <c r="AA13"/>
  <c r="O13"/>
  <c r="C13"/>
  <c r="AA12"/>
  <c r="AA11"/>
  <c r="O11"/>
  <c r="C11"/>
  <c r="D9"/>
  <c r="C7"/>
  <c r="AA4"/>
  <c r="O4"/>
  <c r="C4"/>
  <c r="AA20" l="1"/>
  <c r="C24"/>
  <c r="AA18"/>
  <c r="AD58"/>
  <c r="AF58"/>
  <c r="AH58"/>
  <c r="AJ58"/>
  <c r="AA19"/>
  <c r="AA17"/>
  <c r="AA58" s="1"/>
  <c r="Q52"/>
  <c r="Q58" s="1"/>
  <c r="S52"/>
  <c r="S58" s="1"/>
  <c r="U52"/>
  <c r="U58" s="1"/>
  <c r="W52"/>
  <c r="W58" s="1"/>
  <c r="R52"/>
  <c r="R58" s="1"/>
  <c r="T52"/>
  <c r="T58" s="1"/>
  <c r="V52"/>
  <c r="V58" s="1"/>
  <c r="X52"/>
  <c r="X58" s="1"/>
  <c r="O19"/>
  <c r="F57"/>
  <c r="H57"/>
  <c r="J57"/>
  <c r="L57"/>
  <c r="O24"/>
  <c r="O25"/>
  <c r="AR58"/>
  <c r="AT58"/>
  <c r="AV58"/>
  <c r="AS58"/>
  <c r="AU58"/>
  <c r="AP58"/>
  <c r="C12"/>
  <c r="O14"/>
  <c r="AA14"/>
  <c r="C10"/>
  <c r="AO18"/>
  <c r="C18" s="1"/>
  <c r="AO19"/>
  <c r="C19" s="1"/>
  <c r="AM17"/>
  <c r="O18"/>
  <c r="C54"/>
  <c r="C57" s="1"/>
  <c r="C44" l="1"/>
  <c r="O52"/>
  <c r="O58" s="1"/>
  <c r="AO58"/>
  <c r="AM18"/>
  <c r="AM19"/>
  <c r="C58" l="1"/>
  <c r="AM58"/>
</calcChain>
</file>

<file path=xl/sharedStrings.xml><?xml version="1.0" encoding="utf-8"?>
<sst xmlns="http://schemas.openxmlformats.org/spreadsheetml/2006/main" count="595" uniqueCount="87">
  <si>
    <t xml:space="preserve">Финансовый факт ТСЖ "Согласие"    </t>
  </si>
  <si>
    <t>(рублей)</t>
  </si>
  <si>
    <t>Нарастающим итогом на 2012 год</t>
  </si>
  <si>
    <t>Январь 2012 год</t>
  </si>
  <si>
    <t>Февраль 2012 год</t>
  </si>
  <si>
    <t>Наименование статей</t>
  </si>
  <si>
    <t>ВСЕГО</t>
  </si>
  <si>
    <t>общехозяйственные расходы</t>
  </si>
  <si>
    <t>Изобретателей, 73</t>
  </si>
  <si>
    <t>Пеше-Стрелецкая, 79а</t>
  </si>
  <si>
    <t>Пеше-Стрелецкая, 83</t>
  </si>
  <si>
    <t>Пеше-Стрелецкая, 111</t>
  </si>
  <si>
    <t>Пирогова, 35</t>
  </si>
  <si>
    <t>Пирогова, 37</t>
  </si>
  <si>
    <t>Пирогова, 39</t>
  </si>
  <si>
    <t>Пирогова, 41</t>
  </si>
  <si>
    <t>Общая площадь</t>
  </si>
  <si>
    <t>1. Членские взносы, прочие поступления</t>
  </si>
  <si>
    <r>
      <t>стоимость содержания 1м</t>
    </r>
    <r>
      <rPr>
        <i/>
        <vertAlign val="superscript"/>
        <sz val="9"/>
        <rFont val="Times New Roman"/>
        <family val="1"/>
        <charset val="204"/>
      </rPr>
      <t>2</t>
    </r>
  </si>
  <si>
    <t>Задолж. населения на 01.01.12г.</t>
  </si>
  <si>
    <t>Остаток средств на 01.01.12г в банке</t>
  </si>
  <si>
    <t>Итого</t>
  </si>
  <si>
    <t>Остаток средств на 01.01.12г на ЕРКЦ "Домостроитель"</t>
  </si>
  <si>
    <t>1</t>
  </si>
  <si>
    <t>Обеспечение эксплуатации многоквартирного дома</t>
  </si>
  <si>
    <t>2</t>
  </si>
  <si>
    <t>Арендная плата и техобслуж.</t>
  </si>
  <si>
    <t>Арендная плата и техобслуживание</t>
  </si>
  <si>
    <t>3</t>
  </si>
  <si>
    <t>Прочие</t>
  </si>
  <si>
    <t>4</t>
  </si>
  <si>
    <t>Частичный капитальный ремонт</t>
  </si>
  <si>
    <t>ВСЕГО ПОСТУПЛЕНИЙ</t>
  </si>
  <si>
    <t>2. Расходы</t>
  </si>
  <si>
    <t>Расходы на содержание</t>
  </si>
  <si>
    <t>Заработная плата работников (с НДФЛ)</t>
  </si>
  <si>
    <t>ПФР РФ</t>
  </si>
  <si>
    <t>ФСС</t>
  </si>
  <si>
    <t xml:space="preserve">ФСС </t>
  </si>
  <si>
    <t>Ед. налог по УСН</t>
  </si>
  <si>
    <t>Удержано ЕРКЦ "Домостроитель"</t>
  </si>
  <si>
    <t>Услуги вязи</t>
  </si>
  <si>
    <t>Услуги связи</t>
  </si>
  <si>
    <t>Консультативные и консалтинговые услуги, услуги коллекторского агентства</t>
  </si>
  <si>
    <t>Юридические услуги</t>
  </si>
  <si>
    <t>Судебные издержки</t>
  </si>
  <si>
    <t>Услуги банка</t>
  </si>
  <si>
    <t>Оплата ком. платежей за офис</t>
  </si>
  <si>
    <t>Расходы на офис</t>
  </si>
  <si>
    <t>Материалы</t>
  </si>
  <si>
    <t>Подготовка и обучение кадров</t>
  </si>
  <si>
    <t>Обработка подвалов</t>
  </si>
  <si>
    <t>Доставка песка и земли</t>
  </si>
  <si>
    <t>Озеленение</t>
  </si>
  <si>
    <t>Охрана труда (противопож.без-ть, м/д ср.,спецодежда)</t>
  </si>
  <si>
    <t>Охрана труда (противопожар.безопасность, м/д ср.,спецодежда)</t>
  </si>
  <si>
    <t>Тех. обслуж. приборов учета</t>
  </si>
  <si>
    <t>Поверка приборов учета х.в.с.</t>
  </si>
  <si>
    <t>Страхование лифтов</t>
  </si>
  <si>
    <t>Замена ламп наруж. освещения</t>
  </si>
  <si>
    <t>Покраска дверей входных, мусорокамер, стен у дверей</t>
  </si>
  <si>
    <t>Устан. нов.оборуд. дет.площ.</t>
  </si>
  <si>
    <t>Непредвиденные расходы</t>
  </si>
  <si>
    <t xml:space="preserve">Непредвиденные расходы </t>
  </si>
  <si>
    <t>Расходы на текущий ремонт</t>
  </si>
  <si>
    <t>Устройство ограждения</t>
  </si>
  <si>
    <t>Замена запорной арматуры</t>
  </si>
  <si>
    <t>Восстан. асфальтового покрытия</t>
  </si>
  <si>
    <t>Аварийное обслуживание</t>
  </si>
  <si>
    <t>Косметический ремонт подъездов</t>
  </si>
  <si>
    <t>Прочие расходы</t>
  </si>
  <si>
    <t>Расходы на капитальный ремонт</t>
  </si>
  <si>
    <t>Ремонт кровли</t>
  </si>
  <si>
    <t>Замена т/проводов ГВС</t>
  </si>
  <si>
    <t>Замена узла учета ГВС</t>
  </si>
  <si>
    <t>ВСЕГО РАСХОДОВ</t>
  </si>
  <si>
    <t>Март 2012 год</t>
  </si>
  <si>
    <t>Содержание и ремонт газового оборудования и вентканалов</t>
  </si>
  <si>
    <t>№ п/п</t>
  </si>
  <si>
    <t>Апрель 2012 год</t>
  </si>
  <si>
    <t>Май 2012 год</t>
  </si>
  <si>
    <t>Июнь 2012 год</t>
  </si>
  <si>
    <t>Замена камер наружного наблюдения</t>
  </si>
  <si>
    <t>Замена камер наружного освещения</t>
  </si>
  <si>
    <t>Июль 2012 год</t>
  </si>
  <si>
    <t>Август 2012 год</t>
  </si>
  <si>
    <t>Устройство ограждения, шлагбаума</t>
  </si>
</sst>
</file>

<file path=xl/styles.xml><?xml version="1.0" encoding="utf-8"?>
<styleSheet xmlns="http://schemas.openxmlformats.org/spreadsheetml/2006/main">
  <fonts count="6">
    <font>
      <sz val="12"/>
      <color theme="1"/>
      <name val="Times New Roman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vertAlign val="superscript"/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BDF8FB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2" fontId="3" fillId="4" borderId="8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2" xfId="0" applyFont="1" applyBorder="1" applyAlignment="1">
      <alignment horizontal="left" wrapText="1"/>
    </xf>
    <xf numFmtId="1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wrapText="1"/>
    </xf>
    <xf numFmtId="49" fontId="3" fillId="0" borderId="9" xfId="0" applyNumberFormat="1" applyFont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/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/>
    <xf numFmtId="0" fontId="3" fillId="5" borderId="2" xfId="0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8" xfId="0" applyFont="1" applyFill="1" applyBorder="1"/>
    <xf numFmtId="0" fontId="3" fillId="0" borderId="9" xfId="0" applyFont="1" applyBorder="1"/>
    <xf numFmtId="0" fontId="3" fillId="0" borderId="2" xfId="0" applyFont="1" applyBorder="1"/>
    <xf numFmtId="1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left" wrapText="1"/>
    </xf>
    <xf numFmtId="0" fontId="3" fillId="6" borderId="2" xfId="0" applyFont="1" applyFill="1" applyBorder="1" applyAlignment="1">
      <alignment horizontal="left" vertical="center" wrapText="1"/>
    </xf>
    <xf numFmtId="0" fontId="3" fillId="7" borderId="2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7" xfId="0" applyFont="1" applyBorder="1"/>
    <xf numFmtId="0" fontId="4" fillId="0" borderId="2" xfId="0" applyFont="1" applyBorder="1"/>
    <xf numFmtId="3" fontId="4" fillId="0" borderId="2" xfId="0" applyNumberFormat="1" applyFont="1" applyBorder="1" applyAlignment="1">
      <alignment horizontal="center"/>
    </xf>
    <xf numFmtId="0" fontId="3" fillId="5" borderId="9" xfId="0" applyFont="1" applyFill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8" xfId="0" applyFont="1" applyFill="1" applyBorder="1"/>
    <xf numFmtId="3" fontId="3" fillId="0" borderId="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3" fillId="0" borderId="2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0" xfId="0" applyNumberFormat="1" applyFont="1"/>
    <xf numFmtId="0" fontId="3" fillId="0" borderId="7" xfId="0" applyFont="1" applyFill="1" applyBorder="1"/>
    <xf numFmtId="0" fontId="3" fillId="0" borderId="9" xfId="0" applyFont="1" applyFill="1" applyBorder="1"/>
    <xf numFmtId="0" fontId="1" fillId="0" borderId="0" xfId="0" applyFont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57;&#1046;%20&#1057;&#1086;&#1075;&#1083;&#1072;&#1089;&#1080;&#1077;%20&#1092;&#1072;&#1082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нализ "/>
      <sheetName val="фин факт 11 мес"/>
      <sheetName val="З.п."/>
      <sheetName val="Разное"/>
    </sheetNames>
    <sheetDataSet>
      <sheetData sheetId="0"/>
      <sheetData sheetId="1"/>
      <sheetData sheetId="2"/>
      <sheetData sheetId="3">
        <row r="11">
          <cell r="G11">
            <v>1798.6037159999998</v>
          </cell>
        </row>
        <row r="19">
          <cell r="G19">
            <v>731.00879999999995</v>
          </cell>
        </row>
        <row r="20">
          <cell r="G20">
            <v>1567.6077599999999</v>
          </cell>
        </row>
        <row r="21">
          <cell r="G21">
            <v>1048.6817599999997</v>
          </cell>
        </row>
        <row r="22">
          <cell r="G22">
            <v>1704.7847199999999</v>
          </cell>
        </row>
        <row r="23">
          <cell r="G23">
            <v>1247.2273599999999</v>
          </cell>
        </row>
        <row r="24">
          <cell r="G24">
            <v>467.4846399999999</v>
          </cell>
        </row>
        <row r="25">
          <cell r="G25">
            <v>956.62879999999996</v>
          </cell>
        </row>
        <row r="26">
          <cell r="G26">
            <v>1301.37616</v>
          </cell>
        </row>
        <row r="34">
          <cell r="O34">
            <v>206.06399999999996</v>
          </cell>
        </row>
        <row r="35">
          <cell r="O35">
            <v>441.89280000000008</v>
          </cell>
        </row>
        <row r="36">
          <cell r="O36">
            <v>295.61279999999999</v>
          </cell>
        </row>
        <row r="37">
          <cell r="O37">
            <v>480.56160000000006</v>
          </cell>
        </row>
        <row r="38">
          <cell r="O38">
            <v>351.58080000000001</v>
          </cell>
        </row>
        <row r="39">
          <cell r="O39">
            <v>131.7792</v>
          </cell>
        </row>
        <row r="40">
          <cell r="O40">
            <v>269.66399999999999</v>
          </cell>
        </row>
        <row r="41">
          <cell r="O41">
            <v>366.84480000000002</v>
          </cell>
        </row>
        <row r="65">
          <cell r="C65">
            <v>2944.5120000000002</v>
          </cell>
          <cell r="G65">
            <v>920.8889999999999</v>
          </cell>
          <cell r="K65">
            <v>1353.0239999999999</v>
          </cell>
          <cell r="O65">
            <v>1687.8779999999999</v>
          </cell>
          <cell r="S65">
            <v>2243.5938899999996</v>
          </cell>
          <cell r="W65">
            <v>3203.0307899999998</v>
          </cell>
          <cell r="AA65">
            <v>1002.6001799999999</v>
          </cell>
        </row>
        <row r="66">
          <cell r="C66">
            <v>6314.3423999999995</v>
          </cell>
          <cell r="G66">
            <v>1974.7953</v>
          </cell>
          <cell r="K66">
            <v>2901.4848000000002</v>
          </cell>
          <cell r="O66">
            <v>3619.5605999999998</v>
          </cell>
          <cell r="S66">
            <v>4811.2624530000003</v>
          </cell>
          <cell r="W66">
            <v>6868.7215830000005</v>
          </cell>
          <cell r="AA66">
            <v>2150.0203860000001</v>
          </cell>
        </row>
        <row r="67">
          <cell r="C67">
            <v>4224.1023999999998</v>
          </cell>
          <cell r="G67">
            <v>1321.0778</v>
          </cell>
          <cell r="K67">
            <v>1941.0047999999997</v>
          </cell>
          <cell r="O67">
            <v>2421.3755999999998</v>
          </cell>
          <cell r="S67">
            <v>3218.5877779999996</v>
          </cell>
          <cell r="W67">
            <v>4594.9651579999991</v>
          </cell>
          <cell r="AA67">
            <v>1438.2980359999999</v>
          </cell>
        </row>
        <row r="68">
          <cell r="C68">
            <v>6866.8928000000005</v>
          </cell>
          <cell r="G68">
            <v>2147.6041</v>
          </cell>
          <cell r="K68">
            <v>3155.3856000000001</v>
          </cell>
          <cell r="O68">
            <v>3936.2982000000002</v>
          </cell>
          <cell r="S68">
            <v>5232.2825410000005</v>
          </cell>
          <cell r="W68">
            <v>7469.7841509999998</v>
          </cell>
          <cell r="AA68">
            <v>2338.1626420000002</v>
          </cell>
        </row>
        <row r="69">
          <cell r="C69">
            <v>5023.8464000000004</v>
          </cell>
          <cell r="G69">
            <v>1571.1958000000002</v>
          </cell>
          <cell r="K69">
            <v>2308.4928</v>
          </cell>
          <cell r="O69">
            <v>2879.8116000000005</v>
          </cell>
          <cell r="S69">
            <v>3827.9589580000002</v>
          </cell>
          <cell r="W69">
            <v>5464.9241379999994</v>
          </cell>
          <cell r="AA69">
            <v>1710.6091960000003</v>
          </cell>
        </row>
        <row r="70">
          <cell r="C70">
            <v>1883.0335999999998</v>
          </cell>
          <cell r="G70">
            <v>588.91419999999994</v>
          </cell>
          <cell r="K70">
            <v>865.2672</v>
          </cell>
          <cell r="O70">
            <v>1079.4084</v>
          </cell>
          <cell r="S70">
            <v>1434.7921419999998</v>
          </cell>
          <cell r="W70">
            <v>2048.357962</v>
          </cell>
          <cell r="AA70">
            <v>641.16900399999997</v>
          </cell>
        </row>
        <row r="71">
          <cell r="C71">
            <v>3853.3119999999999</v>
          </cell>
          <cell r="G71">
            <v>1205.114</v>
          </cell>
          <cell r="K71">
            <v>1770.624</v>
          </cell>
          <cell r="O71">
            <v>2208.828</v>
          </cell>
          <cell r="S71">
            <v>2936.0611399999998</v>
          </cell>
          <cell r="W71">
            <v>4191.6205399999999</v>
          </cell>
          <cell r="AA71">
            <v>1312.04468</v>
          </cell>
        </row>
        <row r="72">
          <cell r="C72">
            <v>5241.9584000000004</v>
          </cell>
          <cell r="G72">
            <v>1639.4098000000001</v>
          </cell>
          <cell r="K72">
            <v>2408.7168000000001</v>
          </cell>
          <cell r="O72">
            <v>3004.8396000000002</v>
          </cell>
          <cell r="S72">
            <v>3994.1510979999998</v>
          </cell>
          <cell r="W72">
            <v>5702.1856779999998</v>
          </cell>
          <cell r="AA72">
            <v>1784.8758760000001</v>
          </cell>
        </row>
        <row r="81">
          <cell r="C81">
            <v>1498.7357099999999</v>
          </cell>
          <cell r="G81">
            <v>1647.6525899999999</v>
          </cell>
          <cell r="O81">
            <v>967.46399999999994</v>
          </cell>
          <cell r="S81">
            <v>1021.9851</v>
          </cell>
          <cell r="W81">
            <v>1026.8556299999996</v>
          </cell>
          <cell r="AA81">
            <v>1508.2135199999998</v>
          </cell>
          <cell r="AE81">
            <v>759.42035999999996</v>
          </cell>
        </row>
        <row r="82">
          <cell r="C82">
            <v>3213.9554670000002</v>
          </cell>
          <cell r="G82">
            <v>3533.2994430000003</v>
          </cell>
          <cell r="O82">
            <v>2074.6727999999998</v>
          </cell>
          <cell r="S82">
            <v>2191.5902700000001</v>
          </cell>
          <cell r="W82">
            <v>2202.0348509999994</v>
          </cell>
          <cell r="AA82">
            <v>3234.2801039999995</v>
          </cell>
          <cell r="AE82">
            <v>1628.534772</v>
          </cell>
        </row>
        <row r="83">
          <cell r="C83">
            <v>2150.0381419999999</v>
          </cell>
          <cell r="G83">
            <v>2363.6695179999997</v>
          </cell>
          <cell r="O83">
            <v>1387.8928000000001</v>
          </cell>
          <cell r="S83">
            <v>1466.1070199999999</v>
          </cell>
          <cell r="W83">
            <v>1473.0941259999995</v>
          </cell>
          <cell r="AA83">
            <v>2163.6347039999996</v>
          </cell>
          <cell r="AE83">
            <v>1089.4400719999999</v>
          </cell>
        </row>
        <row r="84">
          <cell r="C84">
            <v>3495.1996990000002</v>
          </cell>
          <cell r="G84">
            <v>3842.4885710000003</v>
          </cell>
          <cell r="O84">
            <v>2256.2215999999999</v>
          </cell>
          <cell r="S84">
            <v>2383.3701900000001</v>
          </cell>
          <cell r="W84">
            <v>2394.7287469999992</v>
          </cell>
          <cell r="AA84">
            <v>3517.3028879999997</v>
          </cell>
          <cell r="AE84">
            <v>1771.0432840000001</v>
          </cell>
        </row>
        <row r="85">
          <cell r="C85">
            <v>2557.1021620000001</v>
          </cell>
          <cell r="G85">
            <v>2811.1800979999998</v>
          </cell>
          <cell r="O85">
            <v>1650.6608000000001</v>
          </cell>
          <cell r="S85">
            <v>1743.6832200000001</v>
          </cell>
          <cell r="W85">
            <v>1751.9931859999995</v>
          </cell>
          <cell r="AA85">
            <v>2573.2729439999998</v>
          </cell>
          <cell r="AE85">
            <v>1295.7023919999999</v>
          </cell>
        </row>
        <row r="86">
          <cell r="C86">
            <v>958.450738</v>
          </cell>
          <cell r="G86">
            <v>1053.684002</v>
          </cell>
          <cell r="O86">
            <v>618.69920000000002</v>
          </cell>
          <cell r="S86">
            <v>653.56578000000002</v>
          </cell>
          <cell r="W86">
            <v>656.68051399999979</v>
          </cell>
          <cell r="AA86">
            <v>964.51185599999985</v>
          </cell>
          <cell r="AE86">
            <v>485.65400799999998</v>
          </cell>
        </row>
        <row r="87">
          <cell r="C87">
            <v>1961.30846</v>
          </cell>
          <cell r="G87">
            <v>2156.1873399999999</v>
          </cell>
          <cell r="O87">
            <v>1266.0639999999999</v>
          </cell>
          <cell r="S87">
            <v>1337.4126000000001</v>
          </cell>
          <cell r="W87">
            <v>1343.7863799999996</v>
          </cell>
          <cell r="AA87">
            <v>1973.7115199999998</v>
          </cell>
          <cell r="AE87">
            <v>993.80935999999986</v>
          </cell>
        </row>
        <row r="88">
          <cell r="C88">
            <v>2668.1196220000002</v>
          </cell>
          <cell r="G88">
            <v>2933.2284379999996</v>
          </cell>
          <cell r="O88">
            <v>1722.3248000000001</v>
          </cell>
          <cell r="S88">
            <v>1819.38582</v>
          </cell>
          <cell r="W88">
            <v>1828.0565659999993</v>
          </cell>
          <cell r="AA88">
            <v>2684.9924639999995</v>
          </cell>
          <cell r="AE88">
            <v>1351.9557519999998</v>
          </cell>
        </row>
        <row r="97">
          <cell r="K97">
            <v>1802.1106799999998</v>
          </cell>
          <cell r="S97">
            <v>267.80706000000004</v>
          </cell>
        </row>
        <row r="98">
          <cell r="K98">
            <v>3864.5262359999997</v>
          </cell>
          <cell r="S98">
            <v>574.29736200000002</v>
          </cell>
        </row>
        <row r="99">
          <cell r="K99">
            <v>2585.2501359999997</v>
          </cell>
          <cell r="S99">
            <v>384.18741199999999</v>
          </cell>
        </row>
        <row r="100">
          <cell r="K100">
            <v>4202.700092</v>
          </cell>
          <cell r="S100">
            <v>624.55251400000009</v>
          </cell>
        </row>
        <row r="101">
          <cell r="C101">
            <v>22669.076139999997</v>
          </cell>
          <cell r="K101">
            <v>3074.7122959999997</v>
          </cell>
          <cell r="S101">
            <v>456.92513200000002</v>
          </cell>
        </row>
        <row r="102">
          <cell r="C102">
            <v>8497.2938269999995</v>
          </cell>
          <cell r="K102">
            <v>1152.4609039999998</v>
          </cell>
          <cell r="S102">
            <v>171.26426800000002</v>
          </cell>
        </row>
        <row r="103">
          <cell r="C103">
            <v>17377.218557</v>
          </cell>
          <cell r="K103">
            <v>2358.3176799999997</v>
          </cell>
          <cell r="S103">
            <v>350.46355999999997</v>
          </cell>
        </row>
        <row r="104">
          <cell r="C104">
            <v>23650.921476</v>
          </cell>
          <cell r="K104">
            <v>3208.2019759999994</v>
          </cell>
          <cell r="S104">
            <v>476.76269200000002</v>
          </cell>
        </row>
        <row r="113">
          <cell r="C113">
            <v>507.35726999999997</v>
          </cell>
          <cell r="G113">
            <v>175.06772999999998</v>
          </cell>
          <cell r="O113">
            <v>162.16199999999998</v>
          </cell>
          <cell r="W113">
            <v>244.98935999999998</v>
          </cell>
        </row>
        <row r="114">
          <cell r="C114">
            <v>1087.9994790000001</v>
          </cell>
          <cell r="G114">
            <v>375.42302100000001</v>
          </cell>
          <cell r="O114">
            <v>347.74740000000003</v>
          </cell>
          <cell r="W114">
            <v>525.36607200000003</v>
          </cell>
        </row>
        <row r="115">
          <cell r="C115">
            <v>727.83845399999996</v>
          </cell>
          <cell r="G115">
            <v>251.14654599999997</v>
          </cell>
          <cell r="O115">
            <v>232.63239999999999</v>
          </cell>
          <cell r="W115">
            <v>351.45387199999999</v>
          </cell>
        </row>
        <row r="116">
          <cell r="C116">
            <v>1183.207263</v>
          </cell>
          <cell r="G116">
            <v>408.275237</v>
          </cell>
          <cell r="O116">
            <v>378.17779999999999</v>
          </cell>
          <cell r="W116">
            <v>571.339384</v>
          </cell>
        </row>
        <row r="117">
          <cell r="C117">
            <v>865.63919399999997</v>
          </cell>
          <cell r="G117">
            <v>298.695806</v>
          </cell>
          <cell r="O117">
            <v>276.6764</v>
          </cell>
          <cell r="W117">
            <v>417.99419199999994</v>
          </cell>
        </row>
        <row r="118">
          <cell r="C118">
            <v>324.45810599999999</v>
          </cell>
          <cell r="G118">
            <v>111.95689399999999</v>
          </cell>
          <cell r="O118">
            <v>103.70359999999999</v>
          </cell>
          <cell r="W118">
            <v>156.67220799999998</v>
          </cell>
        </row>
        <row r="119">
          <cell r="C119">
            <v>663.94902000000002</v>
          </cell>
          <cell r="G119">
            <v>229.10097999999999</v>
          </cell>
          <cell r="O119">
            <v>212.21200000000002</v>
          </cell>
          <cell r="W119">
            <v>320.60336000000001</v>
          </cell>
        </row>
        <row r="120">
          <cell r="C120">
            <v>903.22121400000003</v>
          </cell>
          <cell r="G120">
            <v>311.66378600000002</v>
          </cell>
          <cell r="O120">
            <v>288.6884</v>
          </cell>
          <cell r="W120">
            <v>436.14155199999999</v>
          </cell>
        </row>
        <row r="129">
          <cell r="W129">
            <v>1702.3340799999983</v>
          </cell>
          <cell r="AA129">
            <v>2332.0878079999998</v>
          </cell>
          <cell r="AE129">
            <v>1702.3340799999983</v>
          </cell>
        </row>
        <row r="130">
          <cell r="W130">
            <v>1137.8949199999988</v>
          </cell>
          <cell r="AA130">
            <v>1558.842592</v>
          </cell>
          <cell r="AE130">
            <v>1137.8949199999988</v>
          </cell>
        </row>
        <row r="131">
          <cell r="W131">
            <v>1846.5996799999982</v>
          </cell>
          <cell r="AA131">
            <v>2529.7223680000002</v>
          </cell>
          <cell r="AE131">
            <v>1846.5996799999982</v>
          </cell>
        </row>
        <row r="132">
          <cell r="AA132">
            <v>1860.2352960000001</v>
          </cell>
          <cell r="AE132">
            <v>1357.8999599999986</v>
          </cell>
        </row>
        <row r="133">
          <cell r="AA133">
            <v>689.25052800000003</v>
          </cell>
          <cell r="AE133">
            <v>503.12627999999955</v>
          </cell>
        </row>
        <row r="134">
          <cell r="AA134">
            <v>1420.4983999999999</v>
          </cell>
          <cell r="AE134">
            <v>1036.908999999999</v>
          </cell>
        </row>
        <row r="135">
          <cell r="AA135">
            <v>1961.5230079999999</v>
          </cell>
          <cell r="AE135">
            <v>1431.8360799999987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A58"/>
  <sheetViews>
    <sheetView tabSelected="1" topLeftCell="A34" zoomScale="95" zoomScaleNormal="95" workbookViewId="0">
      <selection activeCell="G67" sqref="G67"/>
    </sheetView>
  </sheetViews>
  <sheetFormatPr defaultRowHeight="12.75"/>
  <cols>
    <col min="1" max="1" width="3.875" style="2" customWidth="1"/>
    <col min="2" max="2" width="27.625" style="2" customWidth="1"/>
    <col min="3" max="3" width="10.25" style="2" customWidth="1"/>
    <col min="4" max="4" width="11.5" style="2" customWidth="1"/>
    <col min="5" max="5" width="11" style="2" customWidth="1"/>
    <col min="6" max="6" width="11.375" style="2" customWidth="1"/>
    <col min="7" max="7" width="11" style="2" customWidth="1"/>
    <col min="8" max="8" width="11.5" style="2" customWidth="1"/>
    <col min="9" max="10" width="9.375" style="2" customWidth="1"/>
    <col min="11" max="12" width="9.5" style="2" customWidth="1"/>
    <col min="13" max="13" width="3.875" style="2" customWidth="1"/>
    <col min="14" max="14" width="27.5" style="2" customWidth="1"/>
    <col min="15" max="15" width="10.25" style="2" customWidth="1"/>
    <col min="16" max="16" width="11.625" style="2" customWidth="1"/>
    <col min="17" max="17" width="11" style="2" customWidth="1"/>
    <col min="18" max="18" width="11.375" style="2" customWidth="1"/>
    <col min="19" max="19" width="11" style="2" customWidth="1"/>
    <col min="20" max="20" width="11.5" style="2" customWidth="1"/>
    <col min="21" max="21" width="9.5" style="2" customWidth="1"/>
    <col min="22" max="24" width="9.375" style="2" customWidth="1"/>
    <col min="25" max="25" width="3.875" style="2" customWidth="1"/>
    <col min="26" max="26" width="27.625" style="2" customWidth="1"/>
    <col min="27" max="27" width="10.125" style="2" customWidth="1"/>
    <col min="28" max="28" width="11.5" style="2" customWidth="1"/>
    <col min="29" max="29" width="11" style="2" customWidth="1"/>
    <col min="30" max="30" width="11.375" style="2" customWidth="1"/>
    <col min="31" max="31" width="11" style="2" customWidth="1"/>
    <col min="32" max="32" width="11.5" style="2" customWidth="1"/>
    <col min="33" max="33" width="9.375" style="2" customWidth="1"/>
    <col min="34" max="36" width="9.5" style="2" customWidth="1"/>
    <col min="37" max="37" width="3.875" style="2" customWidth="1"/>
    <col min="38" max="38" width="27.625" style="2" customWidth="1"/>
    <col min="39" max="39" width="10.25" style="2" customWidth="1"/>
    <col min="40" max="40" width="11.5" style="2" customWidth="1"/>
    <col min="41" max="41" width="11" style="2" customWidth="1"/>
    <col min="42" max="42" width="11.375" style="2" customWidth="1"/>
    <col min="43" max="43" width="10.875" style="2" customWidth="1"/>
    <col min="44" max="44" width="11.5" style="2" customWidth="1"/>
    <col min="45" max="45" width="9.375" style="2" customWidth="1"/>
    <col min="46" max="48" width="9.5" style="2" customWidth="1"/>
    <col min="49" max="49" width="3.875" style="2" customWidth="1"/>
    <col min="50" max="50" width="27.625" style="2" customWidth="1"/>
    <col min="51" max="51" width="10.25" style="2" customWidth="1"/>
    <col min="52" max="52" width="11.5" style="2" customWidth="1"/>
    <col min="53" max="53" width="11" style="2" customWidth="1"/>
    <col min="54" max="54" width="11.375" style="2" customWidth="1"/>
    <col min="55" max="55" width="10.875" style="2" customWidth="1"/>
    <col min="56" max="56" width="11.5" style="2" customWidth="1"/>
    <col min="57" max="57" width="9.375" style="2" customWidth="1"/>
    <col min="58" max="60" width="9.5" style="2" customWidth="1"/>
    <col min="61" max="61" width="3.875" style="2" customWidth="1"/>
    <col min="62" max="62" width="27.625" style="2" customWidth="1"/>
    <col min="63" max="63" width="10.25" style="2" customWidth="1"/>
    <col min="64" max="64" width="11.5" style="2" customWidth="1"/>
    <col min="65" max="65" width="11" style="2" customWidth="1"/>
    <col min="66" max="66" width="11.375" style="2" customWidth="1"/>
    <col min="67" max="67" width="10.875" style="2" customWidth="1"/>
    <col min="68" max="68" width="11.5" style="2" customWidth="1"/>
    <col min="69" max="69" width="9.375" style="2" customWidth="1"/>
    <col min="70" max="72" width="9.5" style="2" customWidth="1"/>
    <col min="73" max="73" width="3.875" style="2" customWidth="1"/>
    <col min="74" max="74" width="27.625" style="2" customWidth="1"/>
    <col min="75" max="75" width="10.25" style="2" customWidth="1"/>
    <col min="76" max="76" width="11.5" style="2" customWidth="1"/>
    <col min="77" max="77" width="11" style="2" customWidth="1"/>
    <col min="78" max="78" width="11.375" style="2" customWidth="1"/>
    <col min="79" max="79" width="10.875" style="2" customWidth="1"/>
    <col min="80" max="80" width="11.5" style="2" customWidth="1"/>
    <col min="81" max="81" width="9.375" style="2" customWidth="1"/>
    <col min="82" max="84" width="9.5" style="2" customWidth="1"/>
    <col min="85" max="85" width="3.875" style="2" customWidth="1"/>
    <col min="86" max="86" width="27.625" style="2" customWidth="1"/>
    <col min="87" max="87" width="10.25" style="2" customWidth="1"/>
    <col min="88" max="88" width="11.5" style="2" customWidth="1"/>
    <col min="89" max="89" width="11" style="2" customWidth="1"/>
    <col min="90" max="90" width="11.375" style="2" customWidth="1"/>
    <col min="91" max="91" width="10.875" style="2" customWidth="1"/>
    <col min="92" max="92" width="11.5" style="2" customWidth="1"/>
    <col min="93" max="93" width="9.375" style="2" customWidth="1"/>
    <col min="94" max="96" width="9.5" style="2" customWidth="1"/>
    <col min="97" max="97" width="3.875" style="2" customWidth="1"/>
    <col min="98" max="98" width="27.625" style="2" customWidth="1"/>
    <col min="99" max="99" width="10.25" style="2" customWidth="1"/>
    <col min="100" max="100" width="11.5" style="2" customWidth="1"/>
    <col min="101" max="101" width="11" style="2" customWidth="1"/>
    <col min="102" max="102" width="11.375" style="2" customWidth="1"/>
    <col min="103" max="103" width="10.875" style="2" customWidth="1"/>
    <col min="104" max="104" width="11.5" style="2" customWidth="1"/>
    <col min="105" max="105" width="9.375" style="2" customWidth="1"/>
    <col min="106" max="108" width="9.5" style="2" customWidth="1"/>
    <col min="109" max="16384" width="9" style="2"/>
  </cols>
  <sheetData>
    <row r="1" spans="1:108" ht="19.5" thickBo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"/>
      <c r="N1" s="1"/>
      <c r="Y1" s="1"/>
      <c r="Z1" s="1"/>
      <c r="AK1" s="1"/>
      <c r="AL1" s="1"/>
      <c r="AW1" s="97"/>
      <c r="AX1" s="97"/>
      <c r="BI1" s="104"/>
      <c r="BJ1" s="104"/>
      <c r="BU1" s="106"/>
      <c r="BV1" s="106"/>
      <c r="CG1" s="107"/>
      <c r="CH1" s="107"/>
      <c r="CS1" s="107"/>
      <c r="CT1" s="107"/>
    </row>
    <row r="2" spans="1:108" s="8" customFormat="1" ht="12">
      <c r="A2" s="3"/>
      <c r="B2" s="4" t="s">
        <v>1</v>
      </c>
      <c r="C2" s="111" t="s">
        <v>2</v>
      </c>
      <c r="D2" s="111"/>
      <c r="E2" s="111"/>
      <c r="F2" s="111"/>
      <c r="G2" s="111"/>
      <c r="H2" s="111"/>
      <c r="I2" s="111"/>
      <c r="J2" s="111"/>
      <c r="K2" s="111"/>
      <c r="L2" s="111"/>
      <c r="M2" s="5"/>
      <c r="N2" s="6" t="s">
        <v>1</v>
      </c>
      <c r="O2" s="112" t="s">
        <v>3</v>
      </c>
      <c r="P2" s="113"/>
      <c r="Q2" s="113"/>
      <c r="R2" s="113"/>
      <c r="S2" s="113"/>
      <c r="T2" s="113"/>
      <c r="U2" s="113"/>
      <c r="V2" s="113"/>
      <c r="W2" s="113"/>
      <c r="X2" s="114"/>
      <c r="Y2" s="6"/>
      <c r="Z2" s="6" t="s">
        <v>1</v>
      </c>
      <c r="AA2" s="108" t="s">
        <v>4</v>
      </c>
      <c r="AB2" s="108"/>
      <c r="AC2" s="108"/>
      <c r="AD2" s="108"/>
      <c r="AE2" s="108"/>
      <c r="AF2" s="108"/>
      <c r="AG2" s="108"/>
      <c r="AH2" s="108"/>
      <c r="AI2" s="108"/>
      <c r="AJ2" s="108"/>
      <c r="AK2" s="7"/>
      <c r="AL2" s="7" t="s">
        <v>1</v>
      </c>
      <c r="AM2" s="108" t="s">
        <v>76</v>
      </c>
      <c r="AN2" s="108"/>
      <c r="AO2" s="108"/>
      <c r="AP2" s="108"/>
      <c r="AQ2" s="108"/>
      <c r="AR2" s="108"/>
      <c r="AS2" s="108"/>
      <c r="AT2" s="108"/>
      <c r="AU2" s="108"/>
      <c r="AV2" s="108"/>
      <c r="AW2" s="7"/>
      <c r="AX2" s="7" t="s">
        <v>1</v>
      </c>
      <c r="AY2" s="108" t="s">
        <v>79</v>
      </c>
      <c r="AZ2" s="108"/>
      <c r="BA2" s="108"/>
      <c r="BB2" s="108"/>
      <c r="BC2" s="108"/>
      <c r="BD2" s="108"/>
      <c r="BE2" s="108"/>
      <c r="BF2" s="108"/>
      <c r="BG2" s="108"/>
      <c r="BH2" s="108"/>
      <c r="BI2" s="7"/>
      <c r="BJ2" s="7" t="s">
        <v>1</v>
      </c>
      <c r="BK2" s="108" t="s">
        <v>80</v>
      </c>
      <c r="BL2" s="108"/>
      <c r="BM2" s="108"/>
      <c r="BN2" s="108"/>
      <c r="BO2" s="108"/>
      <c r="BP2" s="108"/>
      <c r="BQ2" s="108"/>
      <c r="BR2" s="108"/>
      <c r="BS2" s="108"/>
      <c r="BT2" s="108"/>
      <c r="BU2" s="7"/>
      <c r="BV2" s="7" t="s">
        <v>1</v>
      </c>
      <c r="BW2" s="108" t="s">
        <v>81</v>
      </c>
      <c r="BX2" s="108"/>
      <c r="BY2" s="108"/>
      <c r="BZ2" s="108"/>
      <c r="CA2" s="108"/>
      <c r="CB2" s="108"/>
      <c r="CC2" s="108"/>
      <c r="CD2" s="108"/>
      <c r="CE2" s="108"/>
      <c r="CF2" s="108"/>
      <c r="CG2" s="7"/>
      <c r="CH2" s="7" t="s">
        <v>1</v>
      </c>
      <c r="CI2" s="108" t="s">
        <v>84</v>
      </c>
      <c r="CJ2" s="108"/>
      <c r="CK2" s="108"/>
      <c r="CL2" s="108"/>
      <c r="CM2" s="108"/>
      <c r="CN2" s="108"/>
      <c r="CO2" s="108"/>
      <c r="CP2" s="108"/>
      <c r="CQ2" s="108"/>
      <c r="CR2" s="108"/>
      <c r="CS2" s="7"/>
      <c r="CT2" s="7" t="s">
        <v>1</v>
      </c>
      <c r="CU2" s="108" t="s">
        <v>85</v>
      </c>
      <c r="CV2" s="108"/>
      <c r="CW2" s="108"/>
      <c r="CX2" s="108"/>
      <c r="CY2" s="108"/>
      <c r="CZ2" s="108"/>
      <c r="DA2" s="108"/>
      <c r="DB2" s="108"/>
      <c r="DC2" s="108"/>
      <c r="DD2" s="108"/>
    </row>
    <row r="3" spans="1:108" s="8" customFormat="1" ht="24">
      <c r="A3" s="9" t="s">
        <v>78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1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2" t="s">
        <v>78</v>
      </c>
      <c r="N3" s="10" t="s">
        <v>5</v>
      </c>
      <c r="O3" s="10" t="s">
        <v>6</v>
      </c>
      <c r="P3" s="10" t="s">
        <v>7</v>
      </c>
      <c r="Q3" s="10" t="s">
        <v>8</v>
      </c>
      <c r="R3" s="10" t="s">
        <v>9</v>
      </c>
      <c r="S3" s="10" t="s">
        <v>10</v>
      </c>
      <c r="T3" s="11" t="s">
        <v>11</v>
      </c>
      <c r="U3" s="10" t="s">
        <v>12</v>
      </c>
      <c r="V3" s="10" t="s">
        <v>13</v>
      </c>
      <c r="W3" s="10" t="s">
        <v>14</v>
      </c>
      <c r="X3" s="10" t="s">
        <v>15</v>
      </c>
      <c r="Y3" s="10" t="s">
        <v>78</v>
      </c>
      <c r="Z3" s="10" t="s">
        <v>5</v>
      </c>
      <c r="AA3" s="10" t="s">
        <v>6</v>
      </c>
      <c r="AB3" s="10" t="s">
        <v>7</v>
      </c>
      <c r="AC3" s="10" t="s">
        <v>8</v>
      </c>
      <c r="AD3" s="10" t="s">
        <v>9</v>
      </c>
      <c r="AE3" s="10" t="s">
        <v>10</v>
      </c>
      <c r="AF3" s="11" t="s">
        <v>11</v>
      </c>
      <c r="AG3" s="10" t="s">
        <v>12</v>
      </c>
      <c r="AH3" s="10" t="s">
        <v>13</v>
      </c>
      <c r="AI3" s="10" t="s">
        <v>14</v>
      </c>
      <c r="AJ3" s="10" t="s">
        <v>15</v>
      </c>
      <c r="AK3" s="10" t="s">
        <v>78</v>
      </c>
      <c r="AL3" s="10" t="s">
        <v>5</v>
      </c>
      <c r="AM3" s="10" t="s">
        <v>6</v>
      </c>
      <c r="AN3" s="10" t="s">
        <v>7</v>
      </c>
      <c r="AO3" s="10" t="s">
        <v>8</v>
      </c>
      <c r="AP3" s="10" t="s">
        <v>9</v>
      </c>
      <c r="AQ3" s="10" t="s">
        <v>10</v>
      </c>
      <c r="AR3" s="11" t="s">
        <v>11</v>
      </c>
      <c r="AS3" s="10" t="s">
        <v>12</v>
      </c>
      <c r="AT3" s="10" t="s">
        <v>13</v>
      </c>
      <c r="AU3" s="10" t="s">
        <v>14</v>
      </c>
      <c r="AV3" s="10" t="s">
        <v>15</v>
      </c>
      <c r="AW3" s="10" t="s">
        <v>78</v>
      </c>
      <c r="AX3" s="10" t="s">
        <v>5</v>
      </c>
      <c r="AY3" s="10" t="s">
        <v>6</v>
      </c>
      <c r="AZ3" s="10" t="s">
        <v>7</v>
      </c>
      <c r="BA3" s="10" t="s">
        <v>8</v>
      </c>
      <c r="BB3" s="10" t="s">
        <v>9</v>
      </c>
      <c r="BC3" s="10" t="s">
        <v>10</v>
      </c>
      <c r="BD3" s="11" t="s">
        <v>11</v>
      </c>
      <c r="BE3" s="10" t="s">
        <v>12</v>
      </c>
      <c r="BF3" s="10" t="s">
        <v>13</v>
      </c>
      <c r="BG3" s="10" t="s">
        <v>14</v>
      </c>
      <c r="BH3" s="10" t="s">
        <v>15</v>
      </c>
      <c r="BI3" s="10" t="s">
        <v>78</v>
      </c>
      <c r="BJ3" s="10" t="s">
        <v>5</v>
      </c>
      <c r="BK3" s="10" t="s">
        <v>6</v>
      </c>
      <c r="BL3" s="10" t="s">
        <v>7</v>
      </c>
      <c r="BM3" s="10" t="s">
        <v>8</v>
      </c>
      <c r="BN3" s="10" t="s">
        <v>9</v>
      </c>
      <c r="BO3" s="10" t="s">
        <v>10</v>
      </c>
      <c r="BP3" s="11" t="s">
        <v>11</v>
      </c>
      <c r="BQ3" s="10" t="s">
        <v>12</v>
      </c>
      <c r="BR3" s="10" t="s">
        <v>13</v>
      </c>
      <c r="BS3" s="10" t="s">
        <v>14</v>
      </c>
      <c r="BT3" s="10" t="s">
        <v>15</v>
      </c>
      <c r="BU3" s="10" t="s">
        <v>78</v>
      </c>
      <c r="BV3" s="10" t="s">
        <v>5</v>
      </c>
      <c r="BW3" s="10" t="s">
        <v>6</v>
      </c>
      <c r="BX3" s="10" t="s">
        <v>7</v>
      </c>
      <c r="BY3" s="10" t="s">
        <v>8</v>
      </c>
      <c r="BZ3" s="10" t="s">
        <v>9</v>
      </c>
      <c r="CA3" s="10" t="s">
        <v>10</v>
      </c>
      <c r="CB3" s="11" t="s">
        <v>11</v>
      </c>
      <c r="CC3" s="10" t="s">
        <v>12</v>
      </c>
      <c r="CD3" s="10" t="s">
        <v>13</v>
      </c>
      <c r="CE3" s="10" t="s">
        <v>14</v>
      </c>
      <c r="CF3" s="10" t="s">
        <v>15</v>
      </c>
      <c r="CG3" s="10" t="s">
        <v>78</v>
      </c>
      <c r="CH3" s="10" t="s">
        <v>5</v>
      </c>
      <c r="CI3" s="10" t="s">
        <v>6</v>
      </c>
      <c r="CJ3" s="10" t="s">
        <v>7</v>
      </c>
      <c r="CK3" s="10" t="s">
        <v>8</v>
      </c>
      <c r="CL3" s="10" t="s">
        <v>9</v>
      </c>
      <c r="CM3" s="10" t="s">
        <v>10</v>
      </c>
      <c r="CN3" s="11" t="s">
        <v>11</v>
      </c>
      <c r="CO3" s="10" t="s">
        <v>12</v>
      </c>
      <c r="CP3" s="10" t="s">
        <v>13</v>
      </c>
      <c r="CQ3" s="10" t="s">
        <v>14</v>
      </c>
      <c r="CR3" s="10" t="s">
        <v>15</v>
      </c>
      <c r="CS3" s="10" t="s">
        <v>78</v>
      </c>
      <c r="CT3" s="10" t="s">
        <v>5</v>
      </c>
      <c r="CU3" s="10" t="s">
        <v>6</v>
      </c>
      <c r="CV3" s="10" t="s">
        <v>7</v>
      </c>
      <c r="CW3" s="10" t="s">
        <v>8</v>
      </c>
      <c r="CX3" s="10" t="s">
        <v>9</v>
      </c>
      <c r="CY3" s="10" t="s">
        <v>10</v>
      </c>
      <c r="CZ3" s="11" t="s">
        <v>11</v>
      </c>
      <c r="DA3" s="10" t="s">
        <v>12</v>
      </c>
      <c r="DB3" s="10" t="s">
        <v>13</v>
      </c>
      <c r="DC3" s="10" t="s">
        <v>14</v>
      </c>
      <c r="DD3" s="10" t="s">
        <v>15</v>
      </c>
    </row>
    <row r="4" spans="1:108" s="101" customFormat="1" ht="12">
      <c r="A4" s="98"/>
      <c r="B4" s="99" t="s">
        <v>16</v>
      </c>
      <c r="C4" s="42">
        <f>SUM(E4:L4)</f>
        <v>42622.36</v>
      </c>
      <c r="D4" s="42"/>
      <c r="E4" s="42">
        <v>3452.99</v>
      </c>
      <c r="F4" s="42">
        <v>7403.5</v>
      </c>
      <c r="G4" s="42">
        <v>4951.3999999999996</v>
      </c>
      <c r="H4" s="43">
        <v>8049.5</v>
      </c>
      <c r="I4" s="42">
        <v>5892.26</v>
      </c>
      <c r="J4" s="42">
        <v>2209.2800000000002</v>
      </c>
      <c r="K4" s="42">
        <v>4517.32</v>
      </c>
      <c r="L4" s="42">
        <v>6146.11</v>
      </c>
      <c r="M4" s="100"/>
      <c r="N4" s="99" t="s">
        <v>16</v>
      </c>
      <c r="O4" s="42">
        <f>SUM(Q4:X4)</f>
        <v>42622.36</v>
      </c>
      <c r="P4" s="42"/>
      <c r="Q4" s="42">
        <v>3452.99</v>
      </c>
      <c r="R4" s="42">
        <v>7403.5</v>
      </c>
      <c r="S4" s="42">
        <v>4951.3999999999996</v>
      </c>
      <c r="T4" s="43">
        <v>8049.5</v>
      </c>
      <c r="U4" s="42">
        <v>5892.26</v>
      </c>
      <c r="V4" s="42">
        <v>2209.2800000000002</v>
      </c>
      <c r="W4" s="42">
        <v>4517.32</v>
      </c>
      <c r="X4" s="42">
        <v>6146.11</v>
      </c>
      <c r="Y4" s="99"/>
      <c r="Z4" s="99" t="s">
        <v>16</v>
      </c>
      <c r="AA4" s="42">
        <f>SUM(AC4:AJ4)</f>
        <v>42625.799999999996</v>
      </c>
      <c r="AB4" s="42"/>
      <c r="AC4" s="42">
        <v>3452.99</v>
      </c>
      <c r="AD4" s="42">
        <v>7403.5</v>
      </c>
      <c r="AE4" s="42">
        <v>4951.3999999999996</v>
      </c>
      <c r="AF4" s="43">
        <v>8049.5</v>
      </c>
      <c r="AG4" s="42">
        <v>5890.6</v>
      </c>
      <c r="AH4" s="42">
        <v>2207</v>
      </c>
      <c r="AI4" s="42">
        <v>4528</v>
      </c>
      <c r="AJ4" s="42">
        <v>6142.81</v>
      </c>
      <c r="AK4" s="99"/>
      <c r="AL4" s="99" t="s">
        <v>16</v>
      </c>
      <c r="AM4" s="42">
        <f>SUM(AO4:AV4)</f>
        <v>42716.4</v>
      </c>
      <c r="AN4" s="42"/>
      <c r="AO4" s="42">
        <v>3471</v>
      </c>
      <c r="AP4" s="42">
        <v>7408</v>
      </c>
      <c r="AQ4" s="42">
        <v>4951.3999999999996</v>
      </c>
      <c r="AR4" s="43">
        <v>8039</v>
      </c>
      <c r="AS4" s="42">
        <v>5910</v>
      </c>
      <c r="AT4" s="42">
        <v>2194</v>
      </c>
      <c r="AU4" s="42">
        <v>4512</v>
      </c>
      <c r="AV4" s="42">
        <v>6231</v>
      </c>
      <c r="AW4" s="99"/>
      <c r="AX4" s="99" t="s">
        <v>16</v>
      </c>
      <c r="AY4" s="42">
        <f>SUM(BA4:BH4)</f>
        <v>42716.259999999995</v>
      </c>
      <c r="AZ4" s="42"/>
      <c r="BA4" s="42">
        <v>3471</v>
      </c>
      <c r="BB4" s="42">
        <v>7408</v>
      </c>
      <c r="BC4" s="42">
        <v>4954.3</v>
      </c>
      <c r="BD4" s="43">
        <v>8037.3</v>
      </c>
      <c r="BE4" s="42">
        <v>5910</v>
      </c>
      <c r="BF4" s="42">
        <v>2192.16</v>
      </c>
      <c r="BG4" s="42">
        <v>4512.5</v>
      </c>
      <c r="BH4" s="42">
        <v>6231</v>
      </c>
      <c r="BI4" s="99"/>
      <c r="BJ4" s="105" t="s">
        <v>16</v>
      </c>
      <c r="BK4" s="42">
        <f>SUM(BM4:BT4)</f>
        <v>42713.15</v>
      </c>
      <c r="BL4" s="42"/>
      <c r="BM4" s="42">
        <v>3471</v>
      </c>
      <c r="BN4" s="42">
        <v>7408</v>
      </c>
      <c r="BO4" s="42">
        <v>4954.3</v>
      </c>
      <c r="BP4" s="43">
        <v>8037.3</v>
      </c>
      <c r="BQ4" s="42">
        <v>5908.85</v>
      </c>
      <c r="BR4" s="42">
        <v>2189.8000000000002</v>
      </c>
      <c r="BS4" s="42">
        <v>4512.53</v>
      </c>
      <c r="BT4" s="42">
        <v>6231.37</v>
      </c>
      <c r="BU4" s="99"/>
      <c r="BV4" s="105" t="s">
        <v>16</v>
      </c>
      <c r="BW4" s="42">
        <f>SUM(BY4:CF4)</f>
        <v>42713.15</v>
      </c>
      <c r="BX4" s="42"/>
      <c r="BY4" s="42">
        <v>3471</v>
      </c>
      <c r="BZ4" s="42">
        <v>7408</v>
      </c>
      <c r="CA4" s="42">
        <v>4954.3</v>
      </c>
      <c r="CB4" s="43">
        <v>8037.3</v>
      </c>
      <c r="CC4" s="42">
        <v>5908.85</v>
      </c>
      <c r="CD4" s="42">
        <v>2189.8000000000002</v>
      </c>
      <c r="CE4" s="42">
        <v>4512.53</v>
      </c>
      <c r="CF4" s="42">
        <v>6231.37</v>
      </c>
      <c r="CG4" s="99"/>
      <c r="CH4" s="105" t="s">
        <v>16</v>
      </c>
      <c r="CI4" s="42">
        <f>SUM(CK4:CR4)</f>
        <v>42765.65</v>
      </c>
      <c r="CJ4" s="42"/>
      <c r="CK4" s="42">
        <v>3471</v>
      </c>
      <c r="CL4" s="42">
        <v>7408</v>
      </c>
      <c r="CM4" s="42">
        <v>4954.3</v>
      </c>
      <c r="CN4" s="43">
        <v>8035.8</v>
      </c>
      <c r="CO4" s="42">
        <v>5962.65</v>
      </c>
      <c r="CP4" s="42">
        <v>2189.8000000000002</v>
      </c>
      <c r="CQ4" s="42">
        <v>4512.53</v>
      </c>
      <c r="CR4" s="42">
        <v>6231.57</v>
      </c>
      <c r="CS4" s="99"/>
      <c r="CT4" s="105" t="s">
        <v>16</v>
      </c>
      <c r="CU4" s="42">
        <f>SUM(CW4:DD4)</f>
        <v>42762.55</v>
      </c>
      <c r="CV4" s="42"/>
      <c r="CW4" s="42">
        <v>3471</v>
      </c>
      <c r="CX4" s="42">
        <v>7406.4</v>
      </c>
      <c r="CY4" s="42">
        <v>4952.8</v>
      </c>
      <c r="CZ4" s="43">
        <v>8035.8</v>
      </c>
      <c r="DA4" s="42">
        <v>5962.65</v>
      </c>
      <c r="DB4" s="42">
        <v>2189.8000000000002</v>
      </c>
      <c r="DC4" s="42">
        <v>4512.53</v>
      </c>
      <c r="DD4" s="42">
        <v>6231.57</v>
      </c>
    </row>
    <row r="5" spans="1:108" s="8" customFormat="1" ht="12">
      <c r="A5" s="115" t="s">
        <v>17</v>
      </c>
      <c r="B5" s="116"/>
      <c r="C5" s="116"/>
      <c r="D5" s="18"/>
      <c r="E5" s="18"/>
      <c r="F5" s="18"/>
      <c r="G5" s="18"/>
      <c r="H5" s="19"/>
      <c r="I5" s="18"/>
      <c r="J5" s="18"/>
      <c r="K5" s="18"/>
      <c r="L5" s="18"/>
      <c r="M5" s="20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</row>
    <row r="6" spans="1:108" s="8" customFormat="1">
      <c r="A6" s="21"/>
      <c r="B6" s="22" t="s">
        <v>18</v>
      </c>
      <c r="C6" s="23">
        <v>8.6</v>
      </c>
      <c r="D6" s="24"/>
      <c r="E6" s="25">
        <v>8.6</v>
      </c>
      <c r="F6" s="25">
        <v>8.6</v>
      </c>
      <c r="G6" s="25">
        <v>8.6</v>
      </c>
      <c r="H6" s="26">
        <v>8.6</v>
      </c>
      <c r="I6" s="25">
        <v>8.6</v>
      </c>
      <c r="J6" s="25">
        <v>8.6</v>
      </c>
      <c r="K6" s="25">
        <v>8.6</v>
      </c>
      <c r="L6" s="25">
        <v>8.6</v>
      </c>
      <c r="M6" s="27"/>
      <c r="N6" s="22" t="s">
        <v>18</v>
      </c>
      <c r="O6" s="23">
        <v>8.6</v>
      </c>
      <c r="P6" s="24"/>
      <c r="Q6" s="25">
        <v>8.6</v>
      </c>
      <c r="R6" s="25">
        <v>8.6</v>
      </c>
      <c r="S6" s="25">
        <v>8.6</v>
      </c>
      <c r="T6" s="25">
        <v>8.6</v>
      </c>
      <c r="U6" s="25">
        <v>8.6</v>
      </c>
      <c r="V6" s="25">
        <v>8.6</v>
      </c>
      <c r="W6" s="25">
        <v>8.6</v>
      </c>
      <c r="X6" s="25">
        <v>8.6</v>
      </c>
      <c r="Y6" s="22"/>
      <c r="Z6" s="22" t="s">
        <v>18</v>
      </c>
      <c r="AA6" s="23">
        <v>8.6</v>
      </c>
      <c r="AB6" s="24"/>
      <c r="AC6" s="25">
        <v>8.6</v>
      </c>
      <c r="AD6" s="25">
        <v>8.6</v>
      </c>
      <c r="AE6" s="25">
        <v>8.6</v>
      </c>
      <c r="AF6" s="25">
        <v>8.6</v>
      </c>
      <c r="AG6" s="25">
        <v>8.6</v>
      </c>
      <c r="AH6" s="25">
        <v>8.6</v>
      </c>
      <c r="AI6" s="25">
        <v>8.6</v>
      </c>
      <c r="AJ6" s="25">
        <v>8.6</v>
      </c>
      <c r="AK6" s="22"/>
      <c r="AL6" s="22" t="s">
        <v>18</v>
      </c>
      <c r="AM6" s="23">
        <v>8.6</v>
      </c>
      <c r="AN6" s="24"/>
      <c r="AO6" s="25">
        <v>8.6</v>
      </c>
      <c r="AP6" s="25">
        <v>8.6</v>
      </c>
      <c r="AQ6" s="25">
        <v>8.6</v>
      </c>
      <c r="AR6" s="25">
        <v>8.6</v>
      </c>
      <c r="AS6" s="25">
        <v>8.6</v>
      </c>
      <c r="AT6" s="25">
        <v>8.6</v>
      </c>
      <c r="AU6" s="25">
        <v>8.6</v>
      </c>
      <c r="AV6" s="25">
        <v>8.6</v>
      </c>
      <c r="AW6" s="22"/>
      <c r="AX6" s="22" t="s">
        <v>18</v>
      </c>
      <c r="AY6" s="23">
        <v>8.6</v>
      </c>
      <c r="AZ6" s="24"/>
      <c r="BA6" s="25">
        <v>8.6</v>
      </c>
      <c r="BB6" s="25">
        <v>8.6</v>
      </c>
      <c r="BC6" s="25">
        <v>8.6</v>
      </c>
      <c r="BD6" s="25">
        <v>8.6</v>
      </c>
      <c r="BE6" s="25">
        <v>8.6</v>
      </c>
      <c r="BF6" s="25">
        <v>8.6</v>
      </c>
      <c r="BG6" s="25">
        <v>8.6</v>
      </c>
      <c r="BH6" s="25">
        <v>8.6</v>
      </c>
      <c r="BI6" s="22"/>
      <c r="BJ6" s="22" t="s">
        <v>18</v>
      </c>
      <c r="BK6" s="23">
        <v>8.6</v>
      </c>
      <c r="BL6" s="24"/>
      <c r="BM6" s="25">
        <v>8.6</v>
      </c>
      <c r="BN6" s="25">
        <v>8.6</v>
      </c>
      <c r="BO6" s="25">
        <v>8.6</v>
      </c>
      <c r="BP6" s="25">
        <v>8.6</v>
      </c>
      <c r="BQ6" s="25">
        <v>8.6</v>
      </c>
      <c r="BR6" s="25">
        <v>8.6</v>
      </c>
      <c r="BS6" s="25">
        <v>8.6</v>
      </c>
      <c r="BT6" s="25">
        <v>8.6</v>
      </c>
      <c r="BU6" s="22"/>
      <c r="BV6" s="22" t="s">
        <v>18</v>
      </c>
      <c r="BW6" s="23">
        <v>8.6</v>
      </c>
      <c r="BX6" s="24"/>
      <c r="BY6" s="25">
        <v>8.6</v>
      </c>
      <c r="BZ6" s="25">
        <v>8.6</v>
      </c>
      <c r="CA6" s="25">
        <v>8.6</v>
      </c>
      <c r="CB6" s="25">
        <v>8.6</v>
      </c>
      <c r="CC6" s="25">
        <v>8.6</v>
      </c>
      <c r="CD6" s="25">
        <v>8.6</v>
      </c>
      <c r="CE6" s="25">
        <v>8.6</v>
      </c>
      <c r="CF6" s="25">
        <v>8.6</v>
      </c>
      <c r="CG6" s="22"/>
      <c r="CH6" s="22" t="s">
        <v>18</v>
      </c>
      <c r="CI6" s="23">
        <v>8.6</v>
      </c>
      <c r="CJ6" s="24"/>
      <c r="CK6" s="25">
        <v>8.6</v>
      </c>
      <c r="CL6" s="25">
        <v>8.6</v>
      </c>
      <c r="CM6" s="25">
        <v>8.6</v>
      </c>
      <c r="CN6" s="25">
        <v>8.6</v>
      </c>
      <c r="CO6" s="25">
        <v>8.6</v>
      </c>
      <c r="CP6" s="25">
        <v>8.6</v>
      </c>
      <c r="CQ6" s="25">
        <v>8.6</v>
      </c>
      <c r="CR6" s="25">
        <v>8.6</v>
      </c>
      <c r="CS6" s="22"/>
      <c r="CT6" s="22" t="s">
        <v>18</v>
      </c>
      <c r="CU6" s="23">
        <v>8.6</v>
      </c>
      <c r="CV6" s="24"/>
      <c r="CW6" s="25">
        <v>8.6</v>
      </c>
      <c r="CX6" s="25">
        <v>8.6</v>
      </c>
      <c r="CY6" s="25">
        <v>8.6</v>
      </c>
      <c r="CZ6" s="25">
        <v>8.6</v>
      </c>
      <c r="DA6" s="25">
        <v>8.6</v>
      </c>
      <c r="DB6" s="25">
        <v>8.6</v>
      </c>
      <c r="DC6" s="25">
        <v>8.6</v>
      </c>
      <c r="DD6" s="25">
        <v>8.6</v>
      </c>
    </row>
    <row r="7" spans="1:108" s="38" customFormat="1" ht="12">
      <c r="A7" s="28"/>
      <c r="B7" s="29" t="s">
        <v>19</v>
      </c>
      <c r="C7" s="30">
        <f>SUM(E7:L7)</f>
        <v>100948.72999999998</v>
      </c>
      <c r="D7" s="31"/>
      <c r="E7" s="31">
        <v>9071.76</v>
      </c>
      <c r="F7" s="31">
        <v>30622.39</v>
      </c>
      <c r="G7" s="31">
        <v>2909.38</v>
      </c>
      <c r="H7" s="32">
        <v>10904.83</v>
      </c>
      <c r="I7" s="31">
        <v>16589.09</v>
      </c>
      <c r="J7" s="31">
        <v>19886.849999999999</v>
      </c>
      <c r="K7" s="31">
        <v>5458</v>
      </c>
      <c r="L7" s="31">
        <v>5506.43</v>
      </c>
      <c r="M7" s="33"/>
      <c r="N7" s="34"/>
      <c r="O7" s="35"/>
      <c r="P7" s="36"/>
      <c r="Q7" s="37"/>
      <c r="R7" s="37"/>
      <c r="S7" s="37"/>
      <c r="T7" s="37"/>
      <c r="U7" s="37"/>
      <c r="V7" s="37"/>
      <c r="W7" s="37"/>
      <c r="X7" s="37"/>
      <c r="Y7" s="34"/>
      <c r="Z7" s="34"/>
      <c r="AA7" s="35"/>
      <c r="AB7" s="36"/>
      <c r="AC7" s="37"/>
      <c r="AD7" s="37"/>
      <c r="AE7" s="37"/>
      <c r="AF7" s="37"/>
      <c r="AG7" s="37"/>
      <c r="AH7" s="37"/>
      <c r="AI7" s="37"/>
      <c r="AJ7" s="37"/>
      <c r="AK7" s="34"/>
      <c r="AL7" s="34"/>
      <c r="AM7" s="35"/>
      <c r="AN7" s="36"/>
      <c r="AO7" s="37"/>
      <c r="AP7" s="37"/>
      <c r="AQ7" s="37"/>
      <c r="AR7" s="37"/>
      <c r="AS7" s="37"/>
      <c r="AT7" s="37"/>
      <c r="AU7" s="37"/>
      <c r="AV7" s="37"/>
      <c r="AW7" s="34"/>
      <c r="AX7" s="34"/>
      <c r="AY7" s="35"/>
      <c r="AZ7" s="36"/>
      <c r="BA7" s="37"/>
      <c r="BB7" s="37"/>
      <c r="BC7" s="37"/>
      <c r="BD7" s="37"/>
      <c r="BE7" s="37"/>
      <c r="BF7" s="37"/>
      <c r="BG7" s="37"/>
      <c r="BH7" s="37"/>
      <c r="BI7" s="34"/>
      <c r="BJ7" s="34"/>
      <c r="BK7" s="35"/>
      <c r="BL7" s="36"/>
      <c r="BM7" s="37"/>
      <c r="BN7" s="37"/>
      <c r="BO7" s="37"/>
      <c r="BP7" s="37"/>
      <c r="BQ7" s="37"/>
      <c r="BR7" s="37"/>
      <c r="BS7" s="37"/>
      <c r="BT7" s="37"/>
      <c r="BU7" s="34"/>
      <c r="BV7" s="34"/>
      <c r="BW7" s="35"/>
      <c r="BX7" s="36"/>
      <c r="BY7" s="37"/>
      <c r="BZ7" s="37"/>
      <c r="CA7" s="37"/>
      <c r="CB7" s="37"/>
      <c r="CC7" s="37"/>
      <c r="CD7" s="37"/>
      <c r="CE7" s="37"/>
      <c r="CF7" s="37"/>
      <c r="CG7" s="34"/>
      <c r="CH7" s="34"/>
      <c r="CI7" s="35"/>
      <c r="CJ7" s="36"/>
      <c r="CK7" s="37"/>
      <c r="CL7" s="37"/>
      <c r="CM7" s="37"/>
      <c r="CN7" s="37"/>
      <c r="CO7" s="37"/>
      <c r="CP7" s="37"/>
      <c r="CQ7" s="37"/>
      <c r="CR7" s="37"/>
      <c r="CS7" s="34"/>
      <c r="CT7" s="34"/>
      <c r="CU7" s="35"/>
      <c r="CV7" s="36"/>
      <c r="CW7" s="37"/>
      <c r="CX7" s="37"/>
      <c r="CY7" s="37"/>
      <c r="CZ7" s="37"/>
      <c r="DA7" s="37"/>
      <c r="DB7" s="37"/>
      <c r="DC7" s="37"/>
      <c r="DD7" s="37"/>
    </row>
    <row r="8" spans="1:108" s="8" customFormat="1" ht="12">
      <c r="A8" s="13"/>
      <c r="B8" s="39" t="s">
        <v>20</v>
      </c>
      <c r="C8" s="30">
        <v>101984.78</v>
      </c>
      <c r="D8" s="40" t="s">
        <v>21</v>
      </c>
      <c r="E8" s="40"/>
      <c r="F8" s="15"/>
      <c r="G8" s="15"/>
      <c r="H8" s="16"/>
      <c r="I8" s="15"/>
      <c r="J8" s="15"/>
      <c r="K8" s="15"/>
      <c r="L8" s="15"/>
      <c r="M8" s="17"/>
      <c r="N8" s="39"/>
      <c r="O8" s="15"/>
      <c r="P8" s="15"/>
      <c r="Q8" s="15"/>
      <c r="R8" s="15"/>
      <c r="S8" s="15"/>
      <c r="T8" s="15"/>
      <c r="U8" s="15"/>
      <c r="V8" s="15"/>
      <c r="W8" s="15"/>
      <c r="X8" s="15"/>
      <c r="Y8" s="14"/>
      <c r="Z8" s="39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4"/>
      <c r="AL8" s="39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4"/>
      <c r="AX8" s="39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4"/>
      <c r="BJ8" s="39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4"/>
      <c r="BV8" s="39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4"/>
      <c r="CH8" s="39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4"/>
      <c r="CT8" s="39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s="8" customFormat="1" ht="24">
      <c r="A9" s="13"/>
      <c r="B9" s="39" t="s">
        <v>22</v>
      </c>
      <c r="C9" s="30">
        <v>13742.15</v>
      </c>
      <c r="D9" s="41">
        <f>C8+C9</f>
        <v>115726.93</v>
      </c>
      <c r="E9" s="42">
        <v>9373.89</v>
      </c>
      <c r="F9" s="31">
        <v>20101.79</v>
      </c>
      <c r="G9" s="42">
        <v>13447.48</v>
      </c>
      <c r="H9" s="43">
        <v>21860.83</v>
      </c>
      <c r="I9" s="42">
        <v>15993.47</v>
      </c>
      <c r="J9" s="42">
        <v>5994.66</v>
      </c>
      <c r="K9" s="42">
        <v>12267.06</v>
      </c>
      <c r="L9" s="42">
        <v>16687.830000000002</v>
      </c>
      <c r="M9" s="17"/>
      <c r="N9" s="39"/>
      <c r="O9" s="15"/>
      <c r="P9" s="15"/>
      <c r="Q9" s="15"/>
      <c r="R9" s="15"/>
      <c r="S9" s="15"/>
      <c r="T9" s="15"/>
      <c r="U9" s="15"/>
      <c r="V9" s="15"/>
      <c r="W9" s="15"/>
      <c r="X9" s="15"/>
      <c r="Y9" s="14"/>
      <c r="Z9" s="39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4"/>
      <c r="AL9" s="39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4"/>
      <c r="AX9" s="39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4"/>
      <c r="BJ9" s="39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4"/>
      <c r="BV9" s="39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4"/>
      <c r="CH9" s="39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4"/>
      <c r="CT9" s="39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s="8" customFormat="1" ht="24">
      <c r="A10" s="44" t="s">
        <v>23</v>
      </c>
      <c r="B10" s="29" t="s">
        <v>24</v>
      </c>
      <c r="C10" s="45">
        <f>SUM(D10:L10)</f>
        <v>2898230.2499999995</v>
      </c>
      <c r="D10" s="42"/>
      <c r="E10" s="42">
        <f>Q10+AC10+AO10+BA10+BM10+BY10+CK10+CW10</f>
        <v>240854.85785999999</v>
      </c>
      <c r="F10" s="42">
        <f t="shared" ref="F10:L10" si="0">R10+AD10+AP10+BB10+BN10+BZ10+CL10+CX10</f>
        <v>512812.44752199994</v>
      </c>
      <c r="G10" s="42">
        <f t="shared" si="0"/>
        <v>342063.271572</v>
      </c>
      <c r="H10" s="42">
        <f t="shared" si="0"/>
        <v>553831.19003399997</v>
      </c>
      <c r="I10" s="42">
        <f t="shared" si="0"/>
        <v>390003.82889200002</v>
      </c>
      <c r="J10" s="42">
        <f t="shared" si="0"/>
        <v>142729.82250799998</v>
      </c>
      <c r="K10" s="42">
        <f t="shared" si="0"/>
        <v>300457.68436000001</v>
      </c>
      <c r="L10" s="42">
        <f t="shared" si="0"/>
        <v>415477.147252</v>
      </c>
      <c r="M10" s="46" t="s">
        <v>23</v>
      </c>
      <c r="N10" s="29" t="s">
        <v>24</v>
      </c>
      <c r="O10" s="45">
        <f>SUM(Q10:X10)</f>
        <v>377583.58</v>
      </c>
      <c r="P10" s="31">
        <v>0</v>
      </c>
      <c r="Q10" s="31">
        <f>[1]Разное!$C$65+27811.63</f>
        <v>30756.142</v>
      </c>
      <c r="R10" s="31">
        <f>[1]Разное!$C$66+60482.08</f>
        <v>66796.422399999996</v>
      </c>
      <c r="S10" s="31">
        <f>[1]Разное!$C$67+40147.38</f>
        <v>44371.482399999994</v>
      </c>
      <c r="T10" s="31">
        <f>[1]Разное!$C$68+66527.88</f>
        <v>73394.772800000006</v>
      </c>
      <c r="U10" s="31">
        <f>[1]Разное!$C$69+45726.37</f>
        <v>50750.216400000005</v>
      </c>
      <c r="V10" s="31">
        <f>[1]Разное!$C$70+17080.03</f>
        <v>18963.063599999998</v>
      </c>
      <c r="W10" s="31">
        <f>[1]Разное!$C$71+35725.52</f>
        <v>39578.831999999995</v>
      </c>
      <c r="X10" s="31">
        <f>[1]Разное!$C$72+47730.69</f>
        <v>52972.648400000005</v>
      </c>
      <c r="Y10" s="47" t="s">
        <v>23</v>
      </c>
      <c r="Z10" s="29" t="s">
        <v>24</v>
      </c>
      <c r="AA10" s="45">
        <f>SUM(AB10:AJ10)</f>
        <v>355826.77</v>
      </c>
      <c r="AB10" s="31"/>
      <c r="AC10" s="31">
        <f>[1]Разное!$G$65+28595</f>
        <v>29515.888999999999</v>
      </c>
      <c r="AD10" s="31">
        <f>[1]Разное!$G$66+59740.76</f>
        <v>61715.5553</v>
      </c>
      <c r="AE10" s="31">
        <f>[1]Разное!$G$67+40865.48</f>
        <v>42186.557800000002</v>
      </c>
      <c r="AF10" s="31">
        <f>[1]Разное!$G$68+67762.84</f>
        <v>69910.444099999993</v>
      </c>
      <c r="AG10" s="31">
        <f>[1]Разное!$G$69+46562.12</f>
        <v>48133.315800000004</v>
      </c>
      <c r="AH10" s="31">
        <f>[1]Разное!$G$70+16622.85</f>
        <v>17211.764199999998</v>
      </c>
      <c r="AI10" s="31">
        <f>[1]Разное!$G$71+35727.32</f>
        <v>36932.434000000001</v>
      </c>
      <c r="AJ10" s="31">
        <f>[1]Разное!$G$72+48581.4</f>
        <v>50220.809800000003</v>
      </c>
      <c r="AK10" s="47" t="s">
        <v>23</v>
      </c>
      <c r="AL10" s="29" t="s">
        <v>24</v>
      </c>
      <c r="AM10" s="45">
        <f>SUM(AN10:AV10)</f>
        <v>347586.54</v>
      </c>
      <c r="AN10" s="31"/>
      <c r="AO10" s="31">
        <v>29266.66</v>
      </c>
      <c r="AP10" s="31">
        <v>61558.8</v>
      </c>
      <c r="AQ10" s="31">
        <v>40479.339999999997</v>
      </c>
      <c r="AR10" s="31">
        <v>66595.820000000007</v>
      </c>
      <c r="AS10" s="31">
        <v>46270.49</v>
      </c>
      <c r="AT10" s="31">
        <v>17278.599999999999</v>
      </c>
      <c r="AU10" s="31">
        <v>35839.730000000003</v>
      </c>
      <c r="AV10" s="31">
        <v>50297.1</v>
      </c>
      <c r="AW10" s="47" t="s">
        <v>23</v>
      </c>
      <c r="AX10" s="29" t="s">
        <v>24</v>
      </c>
      <c r="AY10" s="45">
        <f>SUM(AZ10:BH10)</f>
        <v>359224.71</v>
      </c>
      <c r="AZ10" s="31"/>
      <c r="BA10" s="31">
        <f>29279.56+[1]Разное!$K$65</f>
        <v>30632.584000000003</v>
      </c>
      <c r="BB10" s="31">
        <f>59310.76+[1]Разное!$K$66</f>
        <v>62212.2448</v>
      </c>
      <c r="BC10" s="31">
        <f>41177.66+[1]Разное!$K$67</f>
        <v>43118.664800000006</v>
      </c>
      <c r="BD10" s="31">
        <f>66739.44+[1]Разное!$K$68</f>
        <v>69894.825599999996</v>
      </c>
      <c r="BE10" s="31">
        <f>44597.54+[1]Разное!$K$69</f>
        <v>46906.032800000001</v>
      </c>
      <c r="BF10" s="31">
        <f>16964.36+[1]Разное!$K$70</f>
        <v>17829.627199999999</v>
      </c>
      <c r="BG10" s="31">
        <f>35026.42+[1]Разное!$K$71</f>
        <v>36797.044000000002</v>
      </c>
      <c r="BH10" s="31">
        <f>49424.97+[1]Разное!$K$72</f>
        <v>51833.686800000003</v>
      </c>
      <c r="BI10" s="47" t="s">
        <v>23</v>
      </c>
      <c r="BJ10" s="29" t="s">
        <v>24</v>
      </c>
      <c r="BK10" s="45">
        <f>SUM(BL10:BT10)</f>
        <v>358112.45999999996</v>
      </c>
      <c r="BL10" s="31"/>
      <c r="BM10" s="31">
        <f>28189.94+[1]Разное!$O$65</f>
        <v>29877.817999999999</v>
      </c>
      <c r="BN10" s="31">
        <f>60970.56+[1]Разное!$O$66</f>
        <v>64590.120599999995</v>
      </c>
      <c r="BO10" s="31">
        <f>39396+[1]Разное!$O$67</f>
        <v>41817.375599999999</v>
      </c>
      <c r="BP10" s="31">
        <f>62540.92+[1]Разное!$O$68</f>
        <v>66477.218200000003</v>
      </c>
      <c r="BQ10" s="31">
        <f>46225.26+[1]Разное!$O$69</f>
        <v>49105.071600000003</v>
      </c>
      <c r="BR10" s="31">
        <f>16377.41+[1]Разное!$O$70</f>
        <v>17456.8184</v>
      </c>
      <c r="BS10" s="31">
        <f>35326.82+[1]Разное!$O$71</f>
        <v>37535.648000000001</v>
      </c>
      <c r="BT10" s="31">
        <f>48247.55+[1]Разное!$O$72</f>
        <v>51252.389600000002</v>
      </c>
      <c r="BU10" s="47" t="s">
        <v>23</v>
      </c>
      <c r="BV10" s="29" t="s">
        <v>24</v>
      </c>
      <c r="BW10" s="45">
        <f>SUM(BX10:CF10)</f>
        <v>366452.68</v>
      </c>
      <c r="BX10" s="31"/>
      <c r="BY10" s="31">
        <f>28003.32+[1]Разное!$S$65</f>
        <v>30246.91389</v>
      </c>
      <c r="BZ10" s="31">
        <f>60516.48+[1]Разное!$S$66</f>
        <v>65327.742453000006</v>
      </c>
      <c r="CA10" s="31">
        <f>40136.2+[1]Разное!$S$67</f>
        <v>43354.787777999998</v>
      </c>
      <c r="CB10" s="31">
        <f>63011.34+[1]Разное!$S$68</f>
        <v>68243.62254099999</v>
      </c>
      <c r="CC10" s="31">
        <f>46163.85+[1]Разное!$S$69</f>
        <v>49991.808958000001</v>
      </c>
      <c r="CD10" s="31">
        <f>17244.63+[1]Разное!$S$70</f>
        <v>18679.422141999999</v>
      </c>
      <c r="CE10" s="31">
        <f>33734.62+[1]Разное!$S$71</f>
        <v>36670.681140000001</v>
      </c>
      <c r="CF10" s="31">
        <f>49943.55+[1]Разное!$S$72</f>
        <v>53937.701098000005</v>
      </c>
      <c r="CG10" s="47" t="s">
        <v>23</v>
      </c>
      <c r="CH10" s="29" t="s">
        <v>24</v>
      </c>
      <c r="CI10" s="45">
        <f>SUM(CJ10:CR10)</f>
        <v>385113.18</v>
      </c>
      <c r="CJ10" s="31"/>
      <c r="CK10" s="31">
        <f>28536.52+[1]Разное!$W$65</f>
        <v>31739.550790000001</v>
      </c>
      <c r="CL10" s="31">
        <f>61577.72+[1]Разное!$W$66</f>
        <v>68446.441583000007</v>
      </c>
      <c r="CM10" s="31">
        <f>40849.14+[1]Разное!$W$67</f>
        <v>45444.105157999998</v>
      </c>
      <c r="CN10" s="31">
        <f>65455.46+[1]Разное!$W$68</f>
        <v>72925.244150999992</v>
      </c>
      <c r="CO10" s="31">
        <f>47440.27+[1]Разное!$W$69</f>
        <v>52905.194137999999</v>
      </c>
      <c r="CP10" s="31">
        <f>16440.62+[1]Разное!$W$70</f>
        <v>18488.977961999997</v>
      </c>
      <c r="CQ10" s="31">
        <f>35876.71+[1]Разное!$W$71</f>
        <v>40068.330539999995</v>
      </c>
      <c r="CR10" s="31">
        <f>49393.15+[1]Разное!$W$72</f>
        <v>55095.335678000003</v>
      </c>
      <c r="CS10" s="47" t="s">
        <v>23</v>
      </c>
      <c r="CT10" s="29" t="s">
        <v>24</v>
      </c>
      <c r="CU10" s="45">
        <f>SUM(CV10:DD10)</f>
        <v>348330.33</v>
      </c>
      <c r="CV10" s="31"/>
      <c r="CW10" s="31">
        <f>27816.7+[1]Разное!$AA$65</f>
        <v>28819.300180000002</v>
      </c>
      <c r="CX10" s="31">
        <f>60015.1+[1]Разное!$AA$66</f>
        <v>62165.120385999995</v>
      </c>
      <c r="CY10" s="31">
        <f>39852.66+[1]Разное!$AA$67</f>
        <v>41290.958036000004</v>
      </c>
      <c r="CZ10" s="31">
        <f>64051.08+[1]Разное!$AA$68</f>
        <v>66389.242641999997</v>
      </c>
      <c r="DA10" s="31">
        <f>44231.09+[1]Разное!$AA$69</f>
        <v>45941.699195999994</v>
      </c>
      <c r="DB10" s="31">
        <f>16180.38+[1]Разное!$AA$70</f>
        <v>16821.549004</v>
      </c>
      <c r="DC10" s="31">
        <f>35722.94+[1]Разное!$AA$71</f>
        <v>37034.984680000001</v>
      </c>
      <c r="DD10" s="31">
        <f>48082.6+[1]Разное!$AA$72</f>
        <v>49867.475875999997</v>
      </c>
    </row>
    <row r="11" spans="1:108" s="8" customFormat="1" ht="12">
      <c r="A11" s="48" t="s">
        <v>25</v>
      </c>
      <c r="B11" s="29" t="s">
        <v>26</v>
      </c>
      <c r="C11" s="45">
        <f>SUM(D11:L11)</f>
        <v>160517.99</v>
      </c>
      <c r="D11" s="42"/>
      <c r="E11" s="42">
        <f>Q11+AC11+AO11+BA11+BM11+BY11+CK11+CW12</f>
        <v>13659.810360000001</v>
      </c>
      <c r="F11" s="42">
        <f t="shared" ref="F11:L11" si="1">R11+AD11+AP11+BB11+BN11+BZ11+CL11+CX12</f>
        <v>19798.508851999999</v>
      </c>
      <c r="G11" s="42">
        <f t="shared" si="1"/>
        <v>20876.624991999997</v>
      </c>
      <c r="H11" s="42">
        <f t="shared" si="1"/>
        <v>28971.992963999997</v>
      </c>
      <c r="I11" s="42">
        <f t="shared" si="1"/>
        <v>22176.582351999998</v>
      </c>
      <c r="J11" s="42">
        <f t="shared" si="1"/>
        <v>14120.400288000001</v>
      </c>
      <c r="K11" s="42">
        <f t="shared" si="1"/>
        <v>18642.278359999997</v>
      </c>
      <c r="L11" s="42">
        <f t="shared" si="1"/>
        <v>22271.791831999999</v>
      </c>
      <c r="M11" s="49" t="s">
        <v>25</v>
      </c>
      <c r="N11" s="29" t="s">
        <v>27</v>
      </c>
      <c r="O11" s="45">
        <f>SUM(Q11:X11)</f>
        <v>19772.830000000002</v>
      </c>
      <c r="P11" s="31">
        <v>0</v>
      </c>
      <c r="Q11" s="31">
        <v>1785.77</v>
      </c>
      <c r="R11" s="31">
        <v>2252.52</v>
      </c>
      <c r="S11" s="31">
        <v>2347.61</v>
      </c>
      <c r="T11" s="31">
        <v>3622.05</v>
      </c>
      <c r="U11" s="31">
        <v>2746.14</v>
      </c>
      <c r="V11" s="31">
        <v>1861.66</v>
      </c>
      <c r="W11" s="31">
        <v>2373.08</v>
      </c>
      <c r="X11" s="31">
        <v>2784</v>
      </c>
      <c r="Y11" s="50" t="s">
        <v>25</v>
      </c>
      <c r="Z11" s="29" t="s">
        <v>26</v>
      </c>
      <c r="AA11" s="45">
        <f>SUM(AC11:AJ11)</f>
        <v>19772.830000000002</v>
      </c>
      <c r="AB11" s="31">
        <v>0</v>
      </c>
      <c r="AC11" s="31">
        <v>1785.77</v>
      </c>
      <c r="AD11" s="31">
        <v>2252.52</v>
      </c>
      <c r="AE11" s="31">
        <v>2347.61</v>
      </c>
      <c r="AF11" s="31">
        <v>3622.05</v>
      </c>
      <c r="AG11" s="31">
        <v>2746.14</v>
      </c>
      <c r="AH11" s="31">
        <v>1861.66</v>
      </c>
      <c r="AI11" s="31">
        <v>2373.08</v>
      </c>
      <c r="AJ11" s="31">
        <v>2784</v>
      </c>
      <c r="AK11" s="50" t="s">
        <v>25</v>
      </c>
      <c r="AL11" s="29" t="s">
        <v>26</v>
      </c>
      <c r="AM11" s="45">
        <f>SUM(AO11:AV11)</f>
        <v>19772.830000000002</v>
      </c>
      <c r="AN11" s="31">
        <v>0</v>
      </c>
      <c r="AO11" s="31">
        <v>1785.77</v>
      </c>
      <c r="AP11" s="31">
        <v>2252.52</v>
      </c>
      <c r="AQ11" s="31">
        <v>2347.61</v>
      </c>
      <c r="AR11" s="31">
        <v>3622.05</v>
      </c>
      <c r="AS11" s="31">
        <v>2746.14</v>
      </c>
      <c r="AT11" s="31">
        <v>1861.66</v>
      </c>
      <c r="AU11" s="31">
        <v>2373.08</v>
      </c>
      <c r="AV11" s="31">
        <v>2784</v>
      </c>
      <c r="AW11" s="50" t="s">
        <v>25</v>
      </c>
      <c r="AX11" s="29" t="s">
        <v>26</v>
      </c>
      <c r="AY11" s="45">
        <f>SUM(BA11:BH11)</f>
        <v>19772.830000000002</v>
      </c>
      <c r="AZ11" s="31">
        <v>0</v>
      </c>
      <c r="BA11" s="31">
        <v>1785.77</v>
      </c>
      <c r="BB11" s="31">
        <v>2252.52</v>
      </c>
      <c r="BC11" s="31">
        <v>2347.61</v>
      </c>
      <c r="BD11" s="31">
        <v>3622.05</v>
      </c>
      <c r="BE11" s="31">
        <v>2746.14</v>
      </c>
      <c r="BF11" s="31">
        <v>1861.66</v>
      </c>
      <c r="BG11" s="31">
        <v>2373.08</v>
      </c>
      <c r="BH11" s="31">
        <v>2784</v>
      </c>
      <c r="BI11" s="50" t="s">
        <v>25</v>
      </c>
      <c r="BJ11" s="29" t="s">
        <v>26</v>
      </c>
      <c r="BK11" s="45">
        <f>SUM(BM11:BT11)</f>
        <v>19772.830000000002</v>
      </c>
      <c r="BL11" s="31">
        <v>0</v>
      </c>
      <c r="BM11" s="31">
        <v>1785.77</v>
      </c>
      <c r="BN11" s="31">
        <v>2252.52</v>
      </c>
      <c r="BO11" s="31">
        <v>2347.61</v>
      </c>
      <c r="BP11" s="31">
        <v>3622.05</v>
      </c>
      <c r="BQ11" s="31">
        <v>2746.14</v>
      </c>
      <c r="BR11" s="31">
        <v>1861.66</v>
      </c>
      <c r="BS11" s="31">
        <v>2373.08</v>
      </c>
      <c r="BT11" s="31">
        <v>2784</v>
      </c>
      <c r="BU11" s="50" t="s">
        <v>25</v>
      </c>
      <c r="BV11" s="29" t="s">
        <v>26</v>
      </c>
      <c r="BW11" s="45">
        <f>SUM(BY11:CF11)</f>
        <v>19772.830000000002</v>
      </c>
      <c r="BX11" s="31">
        <v>0</v>
      </c>
      <c r="BY11" s="31">
        <v>1785.77</v>
      </c>
      <c r="BZ11" s="31">
        <v>2252.52</v>
      </c>
      <c r="CA11" s="31">
        <v>2347.61</v>
      </c>
      <c r="CB11" s="31">
        <v>3622.05</v>
      </c>
      <c r="CC11" s="31">
        <v>2746.14</v>
      </c>
      <c r="CD11" s="31">
        <v>1861.66</v>
      </c>
      <c r="CE11" s="31">
        <v>2373.08</v>
      </c>
      <c r="CF11" s="31">
        <v>2784</v>
      </c>
      <c r="CG11" s="50" t="s">
        <v>25</v>
      </c>
      <c r="CH11" s="29" t="s">
        <v>26</v>
      </c>
      <c r="CI11" s="45">
        <f>SUM(CK11:CR11)</f>
        <v>19772.830000000002</v>
      </c>
      <c r="CJ11" s="31">
        <v>0</v>
      </c>
      <c r="CK11" s="31">
        <v>1785.77</v>
      </c>
      <c r="CL11" s="31">
        <v>2252.52</v>
      </c>
      <c r="CM11" s="31">
        <v>2347.61</v>
      </c>
      <c r="CN11" s="31">
        <v>3622.05</v>
      </c>
      <c r="CO11" s="31">
        <v>2746.14</v>
      </c>
      <c r="CP11" s="31">
        <v>1861.66</v>
      </c>
      <c r="CQ11" s="31">
        <v>2373.08</v>
      </c>
      <c r="CR11" s="31">
        <v>2784</v>
      </c>
      <c r="CS11" s="50" t="s">
        <v>25</v>
      </c>
      <c r="CT11" s="29" t="s">
        <v>26</v>
      </c>
      <c r="CU11" s="45">
        <f>SUM(CW11:DD11)</f>
        <v>19772.830000000002</v>
      </c>
      <c r="CV11" s="31">
        <v>0</v>
      </c>
      <c r="CW11" s="31">
        <v>1785.77</v>
      </c>
      <c r="CX11" s="31">
        <v>2252.52</v>
      </c>
      <c r="CY11" s="31">
        <v>2347.61</v>
      </c>
      <c r="CZ11" s="31">
        <v>3622.05</v>
      </c>
      <c r="DA11" s="31">
        <v>2746.14</v>
      </c>
      <c r="DB11" s="31">
        <v>1861.66</v>
      </c>
      <c r="DC11" s="31">
        <v>2373.08</v>
      </c>
      <c r="DD11" s="31">
        <v>2784</v>
      </c>
    </row>
    <row r="12" spans="1:108" s="8" customFormat="1" ht="12">
      <c r="A12" s="48" t="s">
        <v>28</v>
      </c>
      <c r="B12" s="29" t="s">
        <v>29</v>
      </c>
      <c r="C12" s="45">
        <f>SUM(D12:L12)</f>
        <v>545600.46868000005</v>
      </c>
      <c r="D12" s="42"/>
      <c r="E12" s="42">
        <f>Q12+AC12+AO12+BA12+BM12+BY12+CK12+CW12</f>
        <v>14106.55501</v>
      </c>
      <c r="F12" s="42">
        <f t="shared" ref="F12:L12" si="2">R12+AD12+AP12+BB12+BN12+BZ12+CL12+CX12</f>
        <v>48343.076044999994</v>
      </c>
      <c r="G12" s="42">
        <f t="shared" si="2"/>
        <v>212067.33043400003</v>
      </c>
      <c r="H12" s="42">
        <f t="shared" si="2"/>
        <v>51691.830596999993</v>
      </c>
      <c r="I12" s="42">
        <f t="shared" si="2"/>
        <v>70609.640018000006</v>
      </c>
      <c r="J12" s="42">
        <f t="shared" si="2"/>
        <v>26486.621912999999</v>
      </c>
      <c r="K12" s="42">
        <f t="shared" si="2"/>
        <v>51373.086217000004</v>
      </c>
      <c r="L12" s="42">
        <f t="shared" si="2"/>
        <v>70922.328446</v>
      </c>
      <c r="M12" s="49" t="s">
        <v>28</v>
      </c>
      <c r="N12" s="29" t="s">
        <v>29</v>
      </c>
      <c r="O12" s="45">
        <f>SUM(Q12:X12)</f>
        <v>25630.57</v>
      </c>
      <c r="P12" s="31">
        <v>0</v>
      </c>
      <c r="Q12" s="31">
        <f>[1]Разное!$C$81+[1]Разное!$C$113+69.98</f>
        <v>2076.0729799999999</v>
      </c>
      <c r="R12" s="31">
        <f>[1]Разное!$C$82+[1]Разное!$C$114+150.07</f>
        <v>4452.0249459999995</v>
      </c>
      <c r="S12" s="31">
        <f>[1]Разное!$C$83+[1]Разное!$C$115+100.4</f>
        <v>2978.2765960000002</v>
      </c>
      <c r="T12" s="31">
        <f>[1]Разное!$C$84+[1]Разное!$C$116+163.21</f>
        <v>4841.6169620000001</v>
      </c>
      <c r="U12" s="31">
        <f>[1]Разное!$C$85+[1]Разное!$C$117+119.4</f>
        <v>3542.1413560000001</v>
      </c>
      <c r="V12" s="31">
        <f>[1]Разное!$C$86+[1]Разное!$C$118+44.76</f>
        <v>1327.668844</v>
      </c>
      <c r="W12" s="31">
        <f>[1]Разное!$C$87+[1]Разное!$C$119+91.58</f>
        <v>2716.8374800000001</v>
      </c>
      <c r="X12" s="31">
        <f>[1]Разное!$C$88+124.59+[1]Разное!$C$120</f>
        <v>3695.9308360000005</v>
      </c>
      <c r="Y12" s="51" t="s">
        <v>28</v>
      </c>
      <c r="Z12" s="29" t="s">
        <v>29</v>
      </c>
      <c r="AA12" s="45">
        <f>SUM(AB12:AJ12)</f>
        <v>99545.24</v>
      </c>
      <c r="AB12" s="31">
        <v>0</v>
      </c>
      <c r="AC12" s="31">
        <f>[1]Разное!$G$81+392.69+[1]Разное!$G$113</f>
        <v>2215.41032</v>
      </c>
      <c r="AD12" s="31">
        <f>[1]Разное!$G$82+842.1+[1]Разное!$G$114</f>
        <v>4750.8224639999999</v>
      </c>
      <c r="AE12" s="31">
        <f>[1]Разное!$G$83+563.34+[1]Разное!$G$115</f>
        <v>3178.1560639999998</v>
      </c>
      <c r="AF12" s="31">
        <f>[1]Разное!$G$84+915.79+[1]Разное!$G$116</f>
        <v>5166.5538080000006</v>
      </c>
      <c r="AG12" s="31">
        <f>[1]Разное!$G$85+[1]Разное!$C$101+669.99+[1]Разное!$G$117</f>
        <v>26448.942043999999</v>
      </c>
      <c r="AH12" s="31">
        <f>[1]Разное!$G$86+[1]Разное!$C$102+251.13+[1]Разное!$G$118</f>
        <v>9914.0647229999995</v>
      </c>
      <c r="AI12" s="31">
        <f>[1]Разное!$G$87+[1]Разное!$C$103+513.89+[1]Разное!$G$119</f>
        <v>20276.396876999999</v>
      </c>
      <c r="AJ12" s="31">
        <f>[1]Разное!$G$88+[1]Разное!$C$104+699.08+[1]Разное!$G$120</f>
        <v>27594.893700000001</v>
      </c>
      <c r="AK12" s="51" t="s">
        <v>28</v>
      </c>
      <c r="AL12" s="29" t="s">
        <v>29</v>
      </c>
      <c r="AM12" s="45">
        <f>SUM(AN12:AV12)</f>
        <v>17710</v>
      </c>
      <c r="AN12" s="31">
        <v>0</v>
      </c>
      <c r="AO12" s="31">
        <v>1248</v>
      </c>
      <c r="AP12" s="31">
        <v>2676</v>
      </c>
      <c r="AQ12" s="31">
        <v>1790</v>
      </c>
      <c r="AR12" s="31">
        <v>4782</v>
      </c>
      <c r="AS12" s="31">
        <v>2129</v>
      </c>
      <c r="AT12" s="31">
        <v>798</v>
      </c>
      <c r="AU12" s="31">
        <v>1633</v>
      </c>
      <c r="AV12" s="31">
        <v>2654</v>
      </c>
      <c r="AW12" s="51" t="s">
        <v>28</v>
      </c>
      <c r="AX12" s="29" t="s">
        <v>29</v>
      </c>
      <c r="AY12" s="45">
        <f>SUM(AZ12:BH12)</f>
        <v>38738.28</v>
      </c>
      <c r="AZ12" s="31">
        <v>0</v>
      </c>
      <c r="BA12" s="31">
        <f>[1]Разное!$O$81+[1]Разное!$O$113+[1]Разное!$O$34+[1]Разное!$K$97</f>
        <v>3137.8006799999998</v>
      </c>
      <c r="BB12" s="31">
        <f>[1]Разное!$O$82+[1]Разное!$O$114+[1]Разное!$K$98+[1]Разное!$O$35</f>
        <v>6728.8392359999998</v>
      </c>
      <c r="BC12" s="31">
        <f>[1]Разное!$O$83+[1]Разное!$O$115+[1]Разное!$O$36+[1]Разное!$K$99</f>
        <v>4501.3881359999996</v>
      </c>
      <c r="BD12" s="31">
        <f>[1]Разное!$O$116+[1]Разное!$O$84+[1]Разное!$K$100+[1]Разное!$O$37</f>
        <v>7317.6610919999994</v>
      </c>
      <c r="BE12" s="31">
        <f>[1]Разное!$O$85+[1]Разное!$O$117+[1]Разное!$O$38+[1]Разное!$K$101</f>
        <v>5353.6302959999994</v>
      </c>
      <c r="BF12" s="31">
        <f>[1]Разное!$O$118+[1]Разное!$O$86+[1]Разное!$K$102+[1]Разное!$O$39</f>
        <v>2006.6429039999998</v>
      </c>
      <c r="BG12" s="31">
        <f>[1]Разное!$O$87+[1]Разное!$O$119+[1]Разное!$O$40+[1]Разное!$K$103</f>
        <v>4106.2576799999997</v>
      </c>
      <c r="BH12" s="31">
        <f>[1]Разное!$O$120+[1]Разное!$O$88+[1]Разное!$K$104+[1]Разное!$O$41</f>
        <v>5586.0599759999996</v>
      </c>
      <c r="BI12" s="50" t="s">
        <v>28</v>
      </c>
      <c r="BJ12" s="29" t="s">
        <v>29</v>
      </c>
      <c r="BK12" s="45">
        <f>SUM(BL12:BT12)</f>
        <v>157728.15000000002</v>
      </c>
      <c r="BL12" s="31">
        <v>0</v>
      </c>
      <c r="BM12" s="31">
        <f>[1]Разное!$S$97+[1]Разное!$S$81</f>
        <v>1289.79216</v>
      </c>
      <c r="BN12" s="31">
        <f>432+800+[1]Разное!$S$82+[1]Разное!$S$98</f>
        <v>3997.8876319999999</v>
      </c>
      <c r="BO12" s="31">
        <f>100+139528.79+[1]Разное!$S$99+[1]Разное!$S$83</f>
        <v>141479.084432</v>
      </c>
      <c r="BP12" s="31">
        <f>[1]Разное!$S$84+[1]Разное!$S$100</f>
        <v>3007.9227040000001</v>
      </c>
      <c r="BQ12" s="31">
        <f>100+[1]Разное!$S$101+[1]Разное!$S$85</f>
        <v>2300.6083520000002</v>
      </c>
      <c r="BR12" s="31">
        <f>144+[1]Разное!$S$86+[1]Разное!$S$102</f>
        <v>968.83004800000003</v>
      </c>
      <c r="BS12" s="31">
        <f>400+[1]Разное!$S$103+[1]Разное!$S$87</f>
        <v>2087.8761599999998</v>
      </c>
      <c r="BT12" s="31">
        <f>300+[1]Разное!$S$104+[1]Разное!$S$88</f>
        <v>2596.1485119999998</v>
      </c>
      <c r="BU12" s="50" t="s">
        <v>28</v>
      </c>
      <c r="BV12" s="29" t="s">
        <v>29</v>
      </c>
      <c r="BW12" s="45">
        <f>SUM(BX12:CF12)</f>
        <v>144651.68867999999</v>
      </c>
      <c r="BX12" s="31">
        <v>0</v>
      </c>
      <c r="BY12" s="31">
        <f>0+[1]Разное!$W$81</f>
        <v>1026.8556299999996</v>
      </c>
      <c r="BZ12" s="31">
        <f>800+[1]Разное!$W$82+[1]Разное!$W$129+10622.53</f>
        <v>15326.898930999998</v>
      </c>
      <c r="CA12" s="31">
        <f>100+35466.64+[1]Разное!$W$83+[1]Разное!$W$130+7100.44+1241.35</f>
        <v>46519.419045999995</v>
      </c>
      <c r="CB12" s="31">
        <f>0+[1]Разное!$W$84+[1]Разное!$W$131+11522.74+576</f>
        <v>16340.068426999998</v>
      </c>
      <c r="CC12" s="31">
        <f>200+11704.95+[1]Разное!$W$85+8473.27</f>
        <v>22130.213186000001</v>
      </c>
      <c r="CD12" s="31">
        <f>4376.02+[1]Разное!$W$86+3139.5</f>
        <v>8172.2005140000001</v>
      </c>
      <c r="CE12" s="31">
        <f>400+6393.11+[1]Разное!$W$87+6470.29</f>
        <v>14607.186379999999</v>
      </c>
      <c r="CF12" s="31">
        <f>300+9466.16+[1]Разное!$W$88+8934.63</f>
        <v>20528.846566</v>
      </c>
      <c r="CG12" s="50" t="s">
        <v>28</v>
      </c>
      <c r="CH12" s="29" t="s">
        <v>29</v>
      </c>
      <c r="CI12" s="45">
        <f>SUM(CJ12:CR12)</f>
        <v>39488.36</v>
      </c>
      <c r="CJ12" s="31">
        <v>0</v>
      </c>
      <c r="CK12" s="31">
        <f>[1]Разное!$AA$81+[1]Разное!$W$113+200</f>
        <v>1953.2028799999998</v>
      </c>
      <c r="CL12" s="31">
        <f>[1]Разное!$AA$82+[1]Разное!$AA$129+288+[1]Разное!$W$114</f>
        <v>6379.7339839999995</v>
      </c>
      <c r="CM12" s="31">
        <f>873.34+[1]Разное!$AA$130+[1]Разное!$AA$83+[1]Разное!$W$115+2230.38</f>
        <v>7177.6511679999994</v>
      </c>
      <c r="CN12" s="31">
        <f>[1]Разное!$AA$84+[1]Разное!$AA$131+[1]Разное!$W$116</f>
        <v>6618.3646399999998</v>
      </c>
      <c r="CO12" s="31">
        <f>[1]Разное!$AA$132+[1]Разное!$AA$85+[1]Разное!$W$117+900</f>
        <v>5751.5024320000002</v>
      </c>
      <c r="CP12" s="31">
        <f>[1]Разное!$AA$86+[1]Разное!$AA$133+400+[1]Разное!$W$118</f>
        <v>2210.4345919999996</v>
      </c>
      <c r="CQ12" s="31">
        <f>[1]Разное!$AA$134+[1]Разное!$AA$87+200+[1]Разное!$W$119</f>
        <v>3914.8132799999998</v>
      </c>
      <c r="CR12" s="31">
        <f>[1]Разное!$AA$88+[1]Разное!$AA$135+400+[1]Разное!$W$120</f>
        <v>5482.6570239999992</v>
      </c>
      <c r="CS12" s="50" t="s">
        <v>28</v>
      </c>
      <c r="CT12" s="29" t="s">
        <v>29</v>
      </c>
      <c r="CU12" s="45">
        <f>SUM(CV12:DD12)</f>
        <v>22108.179999999989</v>
      </c>
      <c r="CV12" s="31">
        <v>0</v>
      </c>
      <c r="CW12" s="31">
        <f>400+[1]Разное!$AE$81</f>
        <v>1159.4203600000001</v>
      </c>
      <c r="CX12" s="31">
        <f>700+[1]Разное!$AE$82+[1]Разное!$AE$129</f>
        <v>4030.8688519999982</v>
      </c>
      <c r="CY12" s="31">
        <f>[1]Разное!$AE$130+[1]Разное!$AE$83+1000+1216.02</f>
        <v>4443.3549919999987</v>
      </c>
      <c r="CZ12" s="31">
        <f>[1]Разное!$AE$84+[1]Разное!$AE$131</f>
        <v>3617.6429639999983</v>
      </c>
      <c r="DA12" s="31">
        <f>[1]Разное!$AE$132+[1]Разное!$AE$85+300</f>
        <v>2953.6023519999985</v>
      </c>
      <c r="DB12" s="31">
        <f>[1]Разное!$AE$86+[1]Разное!$AE$133+100</f>
        <v>1088.7802879999995</v>
      </c>
      <c r="DC12" s="31">
        <f>[1]Разное!$AE$134+[1]Разное!$AE$87</f>
        <v>2030.7183599999989</v>
      </c>
      <c r="DD12" s="31">
        <f>[1]Разное!$AE$88+[1]Разное!$AE$135</f>
        <v>2783.7918319999985</v>
      </c>
    </row>
    <row r="13" spans="1:108" s="8" customFormat="1" ht="12">
      <c r="A13" s="48" t="s">
        <v>30</v>
      </c>
      <c r="B13" s="29" t="s">
        <v>31</v>
      </c>
      <c r="C13" s="45">
        <f>E13+F13+G13+H13+D13</f>
        <v>0</v>
      </c>
      <c r="D13" s="42"/>
      <c r="E13" s="42">
        <v>0</v>
      </c>
      <c r="F13" s="42">
        <v>0</v>
      </c>
      <c r="G13" s="42">
        <v>0</v>
      </c>
      <c r="H13" s="43">
        <v>0</v>
      </c>
      <c r="I13" s="42">
        <v>0</v>
      </c>
      <c r="J13" s="42">
        <v>0</v>
      </c>
      <c r="K13" s="42">
        <v>0</v>
      </c>
      <c r="L13" s="42">
        <v>0</v>
      </c>
      <c r="M13" s="49" t="s">
        <v>30</v>
      </c>
      <c r="N13" s="29" t="s">
        <v>31</v>
      </c>
      <c r="O13" s="45">
        <f>Q13+R13+S13+T13+P13</f>
        <v>0</v>
      </c>
      <c r="P13" s="31"/>
      <c r="Q13" s="31">
        <v>0</v>
      </c>
      <c r="R13" s="31">
        <v>0</v>
      </c>
      <c r="S13" s="31">
        <v>0</v>
      </c>
      <c r="T13" s="31">
        <v>0</v>
      </c>
      <c r="U13" s="52">
        <v>0</v>
      </c>
      <c r="V13" s="52">
        <v>0</v>
      </c>
      <c r="W13" s="52">
        <v>0</v>
      </c>
      <c r="X13" s="52">
        <v>0</v>
      </c>
      <c r="Y13" s="48" t="s">
        <v>30</v>
      </c>
      <c r="Z13" s="29" t="s">
        <v>31</v>
      </c>
      <c r="AA13" s="45">
        <f>AC13+AD13+AE13+AJ13+AB13</f>
        <v>0</v>
      </c>
      <c r="AB13" s="31"/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48" t="s">
        <v>30</v>
      </c>
      <c r="AL13" s="29" t="s">
        <v>31</v>
      </c>
      <c r="AM13" s="45">
        <f>AO13+AP13+AQ13+AV13+AN13</f>
        <v>0</v>
      </c>
      <c r="AN13" s="31"/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48" t="s">
        <v>30</v>
      </c>
      <c r="AX13" s="29" t="s">
        <v>31</v>
      </c>
      <c r="AY13" s="45">
        <f>BA13+BB13+BC13+BH13+AZ13</f>
        <v>0</v>
      </c>
      <c r="AZ13" s="31"/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48" t="s">
        <v>30</v>
      </c>
      <c r="BJ13" s="29" t="s">
        <v>31</v>
      </c>
      <c r="BK13" s="45">
        <f>BM13+BN13+BO13+BT13+BL13</f>
        <v>0</v>
      </c>
      <c r="BL13" s="31"/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48" t="s">
        <v>30</v>
      </c>
      <c r="BV13" s="29" t="s">
        <v>31</v>
      </c>
      <c r="BW13" s="45">
        <f>BY13+BZ13+CA13+CF13+BX13</f>
        <v>0</v>
      </c>
      <c r="BX13" s="31"/>
      <c r="BY13" s="31">
        <v>0</v>
      </c>
      <c r="BZ13" s="31">
        <v>0</v>
      </c>
      <c r="CA13" s="31">
        <v>0</v>
      </c>
      <c r="CB13" s="31">
        <v>0</v>
      </c>
      <c r="CC13" s="31">
        <v>0</v>
      </c>
      <c r="CD13" s="31">
        <v>0</v>
      </c>
      <c r="CE13" s="31">
        <v>0</v>
      </c>
      <c r="CF13" s="31">
        <v>0</v>
      </c>
      <c r="CG13" s="48" t="s">
        <v>30</v>
      </c>
      <c r="CH13" s="29" t="s">
        <v>31</v>
      </c>
      <c r="CI13" s="45">
        <f>CK13+CL13+CM13+CR13+CJ13</f>
        <v>0</v>
      </c>
      <c r="CJ13" s="31"/>
      <c r="CK13" s="31">
        <v>0</v>
      </c>
      <c r="CL13" s="31">
        <v>0</v>
      </c>
      <c r="CM13" s="31">
        <v>0</v>
      </c>
      <c r="CN13" s="31">
        <v>0</v>
      </c>
      <c r="CO13" s="31">
        <v>0</v>
      </c>
      <c r="CP13" s="31">
        <v>0</v>
      </c>
      <c r="CQ13" s="31">
        <v>0</v>
      </c>
      <c r="CR13" s="31">
        <v>0</v>
      </c>
      <c r="CS13" s="48" t="s">
        <v>30</v>
      </c>
      <c r="CT13" s="29" t="s">
        <v>31</v>
      </c>
      <c r="CU13" s="45">
        <f>CW13+CX13+CY13+DD13+CV13</f>
        <v>0</v>
      </c>
      <c r="CV13" s="31"/>
      <c r="CW13" s="31">
        <v>0</v>
      </c>
      <c r="CX13" s="31">
        <v>0</v>
      </c>
      <c r="CY13" s="31">
        <v>0</v>
      </c>
      <c r="CZ13" s="31">
        <v>0</v>
      </c>
      <c r="DA13" s="31">
        <v>0</v>
      </c>
      <c r="DB13" s="31">
        <v>0</v>
      </c>
      <c r="DC13" s="31">
        <v>0</v>
      </c>
      <c r="DD13" s="31">
        <v>0</v>
      </c>
    </row>
    <row r="14" spans="1:108" s="58" customFormat="1" ht="12">
      <c r="A14" s="53"/>
      <c r="B14" s="54" t="s">
        <v>32</v>
      </c>
      <c r="C14" s="30">
        <f>SUM(D14:L14)</f>
        <v>3720075.7186799999</v>
      </c>
      <c r="D14" s="41"/>
      <c r="E14" s="55">
        <f>SUM(E9:E13)</f>
        <v>277995.11323000002</v>
      </c>
      <c r="F14" s="55">
        <f>SUM(F9:F13)</f>
        <v>601055.82241899997</v>
      </c>
      <c r="G14" s="55">
        <f t="shared" ref="G14:L14" si="3">SUM(G9:G13)</f>
        <v>588454.70699800004</v>
      </c>
      <c r="H14" s="56">
        <f t="shared" si="3"/>
        <v>656355.84359499987</v>
      </c>
      <c r="I14" s="55">
        <f t="shared" si="3"/>
        <v>498783.52126199997</v>
      </c>
      <c r="J14" s="55">
        <f t="shared" si="3"/>
        <v>189331.504709</v>
      </c>
      <c r="K14" s="55">
        <f t="shared" si="3"/>
        <v>382740.10893700004</v>
      </c>
      <c r="L14" s="55">
        <f t="shared" si="3"/>
        <v>525359.09753000003</v>
      </c>
      <c r="M14" s="57"/>
      <c r="N14" s="54" t="s">
        <v>32</v>
      </c>
      <c r="O14" s="30">
        <f>SUM(Q14:X14)</f>
        <v>422986.98000000004</v>
      </c>
      <c r="P14" s="55">
        <f>SUM(P10:P12)</f>
        <v>0</v>
      </c>
      <c r="Q14" s="55">
        <f>SUM(Q10:Q13)</f>
        <v>34617.984980000001</v>
      </c>
      <c r="R14" s="55">
        <f t="shared" ref="R14:X14" si="4">SUM(R10:R13)</f>
        <v>73500.967346000005</v>
      </c>
      <c r="S14" s="55">
        <f t="shared" si="4"/>
        <v>49697.368995999997</v>
      </c>
      <c r="T14" s="55">
        <f t="shared" si="4"/>
        <v>81858.439762000009</v>
      </c>
      <c r="U14" s="55">
        <f t="shared" si="4"/>
        <v>57038.497756000004</v>
      </c>
      <c r="V14" s="55">
        <f t="shared" si="4"/>
        <v>22152.392443999997</v>
      </c>
      <c r="W14" s="55">
        <f t="shared" si="4"/>
        <v>44668.749479999999</v>
      </c>
      <c r="X14" s="55">
        <f t="shared" si="4"/>
        <v>59452.579236000005</v>
      </c>
      <c r="Y14" s="54"/>
      <c r="Z14" s="54" t="s">
        <v>32</v>
      </c>
      <c r="AA14" s="30">
        <f>SUM(AC14:AJ14)</f>
        <v>475144.84</v>
      </c>
      <c r="AB14" s="41">
        <f>SUM(AB10:AB12)</f>
        <v>0</v>
      </c>
      <c r="AC14" s="41">
        <f t="shared" ref="AC14:AJ14" si="5">SUM(AC10:AC13)</f>
        <v>33517.069320000002</v>
      </c>
      <c r="AD14" s="41">
        <f t="shared" si="5"/>
        <v>68718.897763999994</v>
      </c>
      <c r="AE14" s="41">
        <f t="shared" si="5"/>
        <v>47712.323864000005</v>
      </c>
      <c r="AF14" s="41">
        <f t="shared" si="5"/>
        <v>78699.047907999993</v>
      </c>
      <c r="AG14" s="41">
        <f t="shared" si="5"/>
        <v>77328.397844000006</v>
      </c>
      <c r="AH14" s="41">
        <f t="shared" si="5"/>
        <v>28987.488922999997</v>
      </c>
      <c r="AI14" s="41">
        <f t="shared" si="5"/>
        <v>59581.910877000002</v>
      </c>
      <c r="AJ14" s="41">
        <f t="shared" si="5"/>
        <v>80599.703500000003</v>
      </c>
      <c r="AK14" s="54"/>
      <c r="AL14" s="54" t="s">
        <v>32</v>
      </c>
      <c r="AM14" s="30">
        <f>SUM(AN14:AV14)</f>
        <v>385069.37</v>
      </c>
      <c r="AN14" s="41">
        <f>SUM(AN10:AN12)</f>
        <v>0</v>
      </c>
      <c r="AO14" s="41">
        <f t="shared" ref="AO14:AV14" si="6">SUM(AO10:AO13)</f>
        <v>32300.43</v>
      </c>
      <c r="AP14" s="41">
        <f t="shared" si="6"/>
        <v>66487.320000000007</v>
      </c>
      <c r="AQ14" s="41">
        <f t="shared" si="6"/>
        <v>44616.95</v>
      </c>
      <c r="AR14" s="41">
        <f t="shared" si="6"/>
        <v>74999.87000000001</v>
      </c>
      <c r="AS14" s="41">
        <f t="shared" si="6"/>
        <v>51145.63</v>
      </c>
      <c r="AT14" s="41">
        <f t="shared" si="6"/>
        <v>19938.259999999998</v>
      </c>
      <c r="AU14" s="41">
        <f t="shared" si="6"/>
        <v>39845.810000000005</v>
      </c>
      <c r="AV14" s="41">
        <f t="shared" si="6"/>
        <v>55735.1</v>
      </c>
      <c r="AW14" s="54"/>
      <c r="AX14" s="54" t="s">
        <v>32</v>
      </c>
      <c r="AY14" s="30">
        <f>SUM(AZ14:BH14)</f>
        <v>417735.82000000007</v>
      </c>
      <c r="AZ14" s="41">
        <f>SUM(AZ10:AZ12)</f>
        <v>0</v>
      </c>
      <c r="BA14" s="41">
        <f t="shared" ref="BA14" si="7">SUM(BA10:BA13)</f>
        <v>35556.15468</v>
      </c>
      <c r="BB14" s="41">
        <f t="shared" ref="BB14" si="8">SUM(BB10:BB13)</f>
        <v>71193.604036000004</v>
      </c>
      <c r="BC14" s="41">
        <f t="shared" ref="BC14" si="9">SUM(BC10:BC13)</f>
        <v>49967.662936000008</v>
      </c>
      <c r="BD14" s="41">
        <f t="shared" ref="BD14" si="10">SUM(BD10:BD13)</f>
        <v>80834.536691999994</v>
      </c>
      <c r="BE14" s="41">
        <f t="shared" ref="BE14" si="11">SUM(BE10:BE13)</f>
        <v>55005.803096000003</v>
      </c>
      <c r="BF14" s="41">
        <f t="shared" ref="BF14" si="12">SUM(BF10:BF13)</f>
        <v>21697.930103999999</v>
      </c>
      <c r="BG14" s="41">
        <f t="shared" ref="BG14" si="13">SUM(BG10:BG13)</f>
        <v>43276.381680000006</v>
      </c>
      <c r="BH14" s="41">
        <f t="shared" ref="BH14" si="14">SUM(BH10:BH13)</f>
        <v>60203.746776</v>
      </c>
      <c r="BI14" s="54"/>
      <c r="BJ14" s="54" t="s">
        <v>32</v>
      </c>
      <c r="BK14" s="30">
        <f>SUM(BL14:BT14)</f>
        <v>535613.44000000006</v>
      </c>
      <c r="BL14" s="41">
        <f>SUM(BL10:BL12)</f>
        <v>0</v>
      </c>
      <c r="BM14" s="41">
        <f t="shared" ref="BM14:BT14" si="15">SUM(BM10:BM13)</f>
        <v>32953.380160000001</v>
      </c>
      <c r="BN14" s="41">
        <f t="shared" si="15"/>
        <v>70840.528231999997</v>
      </c>
      <c r="BO14" s="41">
        <f t="shared" si="15"/>
        <v>185644.07003200002</v>
      </c>
      <c r="BP14" s="41">
        <f t="shared" si="15"/>
        <v>73107.190904000003</v>
      </c>
      <c r="BQ14" s="41">
        <f t="shared" si="15"/>
        <v>54151.819952000005</v>
      </c>
      <c r="BR14" s="41">
        <f t="shared" si="15"/>
        <v>20287.308448</v>
      </c>
      <c r="BS14" s="41">
        <f t="shared" si="15"/>
        <v>41996.604160000003</v>
      </c>
      <c r="BT14" s="41">
        <f t="shared" si="15"/>
        <v>56632.538112000002</v>
      </c>
      <c r="BU14" s="54"/>
      <c r="BV14" s="54" t="s">
        <v>32</v>
      </c>
      <c r="BW14" s="30">
        <f>SUM(BX14:CF14)</f>
        <v>530877.19867999991</v>
      </c>
      <c r="BX14" s="41">
        <f>SUM(BX10:BX12)</f>
        <v>0</v>
      </c>
      <c r="BY14" s="41">
        <f t="shared" ref="BY14:CF14" si="16">SUM(BY10:BY13)</f>
        <v>33059.539519999998</v>
      </c>
      <c r="BZ14" s="41">
        <f t="shared" si="16"/>
        <v>82907.161384000006</v>
      </c>
      <c r="CA14" s="41">
        <f t="shared" si="16"/>
        <v>92221.816823999994</v>
      </c>
      <c r="CB14" s="41">
        <f t="shared" si="16"/>
        <v>88205.740967999998</v>
      </c>
      <c r="CC14" s="41">
        <f t="shared" si="16"/>
        <v>74868.162144000002</v>
      </c>
      <c r="CD14" s="41">
        <f t="shared" si="16"/>
        <v>28713.282655999999</v>
      </c>
      <c r="CE14" s="41">
        <f t="shared" si="16"/>
        <v>53650.947520000002</v>
      </c>
      <c r="CF14" s="41">
        <f t="shared" si="16"/>
        <v>77250.547664000012</v>
      </c>
      <c r="CG14" s="54"/>
      <c r="CH14" s="54" t="s">
        <v>32</v>
      </c>
      <c r="CI14" s="30">
        <f>SUM(CJ14:CR14)</f>
        <v>444374.37000000005</v>
      </c>
      <c r="CJ14" s="41">
        <f>SUM(CJ10:CJ12)</f>
        <v>0</v>
      </c>
      <c r="CK14" s="41">
        <f>SUM(CK10:CK13)</f>
        <v>35478.523669999995</v>
      </c>
      <c r="CL14" s="41">
        <f>SUM(CL10:CL13)</f>
        <v>77078.695567000017</v>
      </c>
      <c r="CM14" s="41">
        <f>SUM(CM10:CM13)</f>
        <v>54969.366325999996</v>
      </c>
      <c r="CN14" s="41">
        <f>SUM(CN10:CN13)</f>
        <v>83165.658790999994</v>
      </c>
      <c r="CO14" s="41">
        <f>SUM(CO10:CO13)</f>
        <v>61402.836569999999</v>
      </c>
      <c r="CP14" s="41">
        <f>SUM(CP10:CP13)</f>
        <v>22561.072553999998</v>
      </c>
      <c r="CQ14" s="41">
        <f>SUM(CQ10:CQ13)</f>
        <v>46356.223819999999</v>
      </c>
      <c r="CR14" s="41">
        <f>SUM(CR10:CR13)</f>
        <v>63361.992702000003</v>
      </c>
      <c r="CS14" s="54"/>
      <c r="CT14" s="54" t="s">
        <v>32</v>
      </c>
      <c r="CU14" s="30">
        <f>SUM(CV14:DD14)</f>
        <v>390211.33999999997</v>
      </c>
      <c r="CV14" s="41">
        <f>SUM(CV10:CV12)</f>
        <v>0</v>
      </c>
      <c r="CW14" s="41">
        <f>SUM(CW10:CW13)</f>
        <v>31764.490540000003</v>
      </c>
      <c r="CX14" s="41">
        <f>SUM(CX10:CX13)</f>
        <v>68448.509237999984</v>
      </c>
      <c r="CY14" s="41">
        <f>SUM(CY10:CY13)</f>
        <v>48081.923028000005</v>
      </c>
      <c r="CZ14" s="41">
        <f>SUM(CZ10:CZ13)</f>
        <v>73628.935605999999</v>
      </c>
      <c r="DA14" s="41">
        <f>SUM(DA10:DA13)</f>
        <v>51641.441547999995</v>
      </c>
      <c r="DB14" s="41">
        <f>SUM(DB10:DB13)</f>
        <v>19771.989291999998</v>
      </c>
      <c r="DC14" s="41">
        <f>SUM(DC10:DC13)</f>
        <v>41438.783040000002</v>
      </c>
      <c r="DD14" s="41">
        <f>SUM(DD10:DD13)</f>
        <v>55435.267707999992</v>
      </c>
    </row>
    <row r="15" spans="1:108" s="8" customFormat="1" ht="12">
      <c r="A15" s="117" t="s">
        <v>33</v>
      </c>
      <c r="B15" s="109"/>
      <c r="C15" s="59"/>
      <c r="D15" s="59"/>
      <c r="E15" s="59"/>
      <c r="F15" s="59"/>
      <c r="G15" s="59"/>
      <c r="H15" s="60"/>
      <c r="I15" s="59"/>
      <c r="J15" s="59"/>
      <c r="K15" s="59"/>
      <c r="L15" s="59"/>
      <c r="M15" s="118" t="s">
        <v>33</v>
      </c>
      <c r="N15" s="109"/>
      <c r="O15" s="59"/>
      <c r="P15" s="18"/>
      <c r="Q15" s="18"/>
      <c r="R15" s="18"/>
      <c r="S15" s="18"/>
      <c r="T15" s="18"/>
      <c r="U15" s="18"/>
      <c r="V15" s="18"/>
      <c r="W15" s="18"/>
      <c r="X15" s="18"/>
      <c r="Y15" s="109" t="s">
        <v>33</v>
      </c>
      <c r="Z15" s="109"/>
      <c r="AA15" s="59"/>
      <c r="AB15" s="18"/>
      <c r="AC15" s="18"/>
      <c r="AD15" s="18"/>
      <c r="AE15" s="18"/>
      <c r="AF15" s="18"/>
      <c r="AG15" s="18"/>
      <c r="AH15" s="18"/>
      <c r="AI15" s="18"/>
      <c r="AJ15" s="18"/>
      <c r="AK15" s="109" t="s">
        <v>33</v>
      </c>
      <c r="AL15" s="109"/>
      <c r="AM15" s="59"/>
      <c r="AN15" s="18"/>
      <c r="AO15" s="18"/>
      <c r="AP15" s="18"/>
      <c r="AQ15" s="18"/>
      <c r="AR15" s="18"/>
      <c r="AS15" s="18"/>
      <c r="AT15" s="18"/>
      <c r="AU15" s="18"/>
      <c r="AV15" s="18"/>
      <c r="AW15" s="109" t="s">
        <v>33</v>
      </c>
      <c r="AX15" s="109"/>
      <c r="AY15" s="59"/>
      <c r="AZ15" s="18"/>
      <c r="BA15" s="18"/>
      <c r="BB15" s="18"/>
      <c r="BC15" s="18"/>
      <c r="BD15" s="18"/>
      <c r="BE15" s="18"/>
      <c r="BF15" s="18"/>
      <c r="BG15" s="18"/>
      <c r="BH15" s="18"/>
      <c r="BI15" s="109" t="s">
        <v>33</v>
      </c>
      <c r="BJ15" s="109"/>
      <c r="BK15" s="59"/>
      <c r="BL15" s="18"/>
      <c r="BM15" s="18"/>
      <c r="BN15" s="18"/>
      <c r="BO15" s="18"/>
      <c r="BP15" s="18"/>
      <c r="BQ15" s="18"/>
      <c r="BR15" s="18"/>
      <c r="BS15" s="18"/>
      <c r="BT15" s="18"/>
      <c r="BU15" s="109" t="s">
        <v>33</v>
      </c>
      <c r="BV15" s="109"/>
      <c r="BW15" s="59"/>
      <c r="BX15" s="18"/>
      <c r="BY15" s="18"/>
      <c r="BZ15" s="18"/>
      <c r="CA15" s="18"/>
      <c r="CB15" s="18"/>
      <c r="CC15" s="18"/>
      <c r="CD15" s="18"/>
      <c r="CE15" s="18"/>
      <c r="CF15" s="18"/>
      <c r="CG15" s="109" t="s">
        <v>33</v>
      </c>
      <c r="CH15" s="109"/>
      <c r="CI15" s="59"/>
      <c r="CJ15" s="18"/>
      <c r="CK15" s="18"/>
      <c r="CL15" s="18"/>
      <c r="CM15" s="18"/>
      <c r="CN15" s="18"/>
      <c r="CO15" s="18"/>
      <c r="CP15" s="18"/>
      <c r="CQ15" s="18"/>
      <c r="CR15" s="18"/>
      <c r="CS15" s="109" t="s">
        <v>33</v>
      </c>
      <c r="CT15" s="109"/>
      <c r="CU15" s="59"/>
      <c r="CV15" s="18"/>
      <c r="CW15" s="18"/>
      <c r="CX15" s="18"/>
      <c r="CY15" s="18"/>
      <c r="CZ15" s="18"/>
      <c r="DA15" s="18"/>
      <c r="DB15" s="18"/>
      <c r="DC15" s="18"/>
      <c r="DD15" s="18"/>
    </row>
    <row r="16" spans="1:108" s="8" customFormat="1" ht="12">
      <c r="A16" s="61"/>
      <c r="B16" s="62" t="s">
        <v>34</v>
      </c>
      <c r="C16" s="63">
        <v>8.6</v>
      </c>
      <c r="D16" s="64"/>
      <c r="E16" s="64"/>
      <c r="F16" s="64"/>
      <c r="G16" s="64"/>
      <c r="H16" s="65"/>
      <c r="I16" s="64"/>
      <c r="J16" s="64"/>
      <c r="K16" s="64"/>
      <c r="L16" s="64"/>
      <c r="M16" s="66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</row>
    <row r="17" spans="1:108" s="38" customFormat="1" ht="12" customHeight="1">
      <c r="A17" s="68">
        <v>1</v>
      </c>
      <c r="B17" s="69" t="s">
        <v>35</v>
      </c>
      <c r="C17" s="45">
        <f t="shared" ref="C17:C24" si="17">SUM(D17:L17)</f>
        <v>2195062.0699999998</v>
      </c>
      <c r="D17" s="31"/>
      <c r="E17" s="31">
        <f>Q17+AC17+AO17+BA17+BM17+BY17+CK17+CW17</f>
        <v>170304.38999999998</v>
      </c>
      <c r="F17" s="31">
        <f t="shared" ref="F17:L26" si="18">R17+AD17+AP17+BB17+BN17+BZ17+CL17+CX17</f>
        <v>413928.29</v>
      </c>
      <c r="G17" s="31">
        <f t="shared" si="18"/>
        <v>267603.21999999997</v>
      </c>
      <c r="H17" s="31">
        <f t="shared" si="18"/>
        <v>384714.49000000005</v>
      </c>
      <c r="I17" s="31">
        <f t="shared" si="18"/>
        <v>304486.80000000005</v>
      </c>
      <c r="J17" s="31">
        <f t="shared" si="18"/>
        <v>114134.45999999999</v>
      </c>
      <c r="K17" s="31">
        <f t="shared" si="18"/>
        <v>228713.87999999998</v>
      </c>
      <c r="L17" s="31">
        <f>X17+AJ17+AV17+BH17+BT17+CF17+CR17+DD17</f>
        <v>311176.53999999998</v>
      </c>
      <c r="M17" s="70">
        <v>1</v>
      </c>
      <c r="N17" s="29" t="s">
        <v>35</v>
      </c>
      <c r="O17" s="45">
        <f t="shared" ref="O17:O22" si="19">SUM(Q17:X17)</f>
        <v>260550.08000000002</v>
      </c>
      <c r="P17" s="31">
        <v>0</v>
      </c>
      <c r="Q17" s="31">
        <v>20355.28</v>
      </c>
      <c r="R17" s="31">
        <v>49850.9</v>
      </c>
      <c r="S17" s="31">
        <v>29937.68</v>
      </c>
      <c r="T17" s="31">
        <v>45590.74</v>
      </c>
      <c r="U17" s="52">
        <v>36210.699999999997</v>
      </c>
      <c r="V17" s="52">
        <v>13573.32</v>
      </c>
      <c r="W17" s="52">
        <v>27549.16</v>
      </c>
      <c r="X17" s="52">
        <v>37482.300000000003</v>
      </c>
      <c r="Y17" s="68">
        <v>1</v>
      </c>
      <c r="Z17" s="29" t="s">
        <v>35</v>
      </c>
      <c r="AA17" s="45">
        <f>SUM(AB17:AJ17)</f>
        <v>270586.39</v>
      </c>
      <c r="AB17" s="31">
        <f>AB11*14.9/100</f>
        <v>0</v>
      </c>
      <c r="AC17" s="31">
        <v>20705.77</v>
      </c>
      <c r="AD17" s="31">
        <v>50045.58</v>
      </c>
      <c r="AE17" s="31">
        <v>32665.21</v>
      </c>
      <c r="AF17" s="31">
        <v>45124.29</v>
      </c>
      <c r="AG17" s="31">
        <v>36771.17</v>
      </c>
      <c r="AH17" s="31">
        <v>13783.28</v>
      </c>
      <c r="AI17" s="31">
        <v>30285.84</v>
      </c>
      <c r="AJ17" s="31">
        <v>41205.25</v>
      </c>
      <c r="AK17" s="68">
        <v>1</v>
      </c>
      <c r="AL17" s="29" t="s">
        <v>35</v>
      </c>
      <c r="AM17" s="45">
        <f>SUM(AN17:AV17)</f>
        <v>315383</v>
      </c>
      <c r="AN17" s="31">
        <f>AN11*14.9/100</f>
        <v>0</v>
      </c>
      <c r="AO17" s="31">
        <v>27154</v>
      </c>
      <c r="AP17" s="31">
        <v>59674</v>
      </c>
      <c r="AQ17" s="31">
        <v>38848</v>
      </c>
      <c r="AR17" s="31">
        <v>58485</v>
      </c>
      <c r="AS17" s="31">
        <v>41570</v>
      </c>
      <c r="AT17" s="31">
        <v>15582</v>
      </c>
      <c r="AU17" s="31">
        <v>31378</v>
      </c>
      <c r="AV17" s="31">
        <v>42692</v>
      </c>
      <c r="AW17" s="68">
        <v>1</v>
      </c>
      <c r="AX17" s="29" t="s">
        <v>35</v>
      </c>
      <c r="AY17" s="45">
        <f>SUM(AZ17:BH17)</f>
        <v>296185.69</v>
      </c>
      <c r="AZ17" s="31">
        <f>AZ11*14.9/100</f>
        <v>0</v>
      </c>
      <c r="BA17" s="31">
        <v>21724</v>
      </c>
      <c r="BB17" s="31">
        <v>50993.55</v>
      </c>
      <c r="BC17" s="31">
        <v>37994.43</v>
      </c>
      <c r="BD17" s="31">
        <v>57960.67</v>
      </c>
      <c r="BE17" s="31">
        <v>44056.97</v>
      </c>
      <c r="BF17" s="31">
        <v>16515.07</v>
      </c>
      <c r="BG17" s="31">
        <v>28358.39</v>
      </c>
      <c r="BH17" s="31">
        <v>38582.61</v>
      </c>
      <c r="BI17" s="68">
        <v>1</v>
      </c>
      <c r="BJ17" s="29" t="s">
        <v>35</v>
      </c>
      <c r="BK17" s="45">
        <f>SUM(BL17:BT17)</f>
        <v>268797.76</v>
      </c>
      <c r="BL17" s="31">
        <f>BL11*14.9/100</f>
        <v>0</v>
      </c>
      <c r="BM17" s="31">
        <v>20479.66</v>
      </c>
      <c r="BN17" s="31">
        <v>49350.01</v>
      </c>
      <c r="BO17" s="31">
        <v>30714.7</v>
      </c>
      <c r="BP17" s="31">
        <v>46361.15</v>
      </c>
      <c r="BQ17" s="31">
        <v>38412.42</v>
      </c>
      <c r="BR17" s="31">
        <v>14398.51</v>
      </c>
      <c r="BS17" s="31">
        <v>29264.73</v>
      </c>
      <c r="BT17" s="31">
        <v>39816.58</v>
      </c>
      <c r="BU17" s="68">
        <v>1</v>
      </c>
      <c r="BV17" s="29" t="s">
        <v>35</v>
      </c>
      <c r="BW17" s="45">
        <f>SUM(BX17:CF17)</f>
        <v>263206.2</v>
      </c>
      <c r="BX17" s="31">
        <f>BX11*14.9/100</f>
        <v>0</v>
      </c>
      <c r="BY17" s="31">
        <v>20196.59</v>
      </c>
      <c r="BZ17" s="31">
        <v>52511.6</v>
      </c>
      <c r="CA17" s="31">
        <v>33374.46</v>
      </c>
      <c r="CB17" s="31">
        <v>43841.42</v>
      </c>
      <c r="CC17" s="31">
        <v>35702.97</v>
      </c>
      <c r="CD17" s="31">
        <v>13382.88</v>
      </c>
      <c r="CE17" s="31">
        <v>27195.67</v>
      </c>
      <c r="CF17" s="31">
        <v>37000.61</v>
      </c>
      <c r="CG17" s="68">
        <v>1</v>
      </c>
      <c r="CH17" s="29" t="s">
        <v>35</v>
      </c>
      <c r="CI17" s="45">
        <f>SUM(CJ17:CR17)</f>
        <v>249522.69</v>
      </c>
      <c r="CJ17" s="31">
        <f>CJ11*14.9/100</f>
        <v>0</v>
      </c>
      <c r="CK17" s="31">
        <v>19583.13</v>
      </c>
      <c r="CL17" s="31">
        <v>46955.05</v>
      </c>
      <c r="CM17" s="31">
        <v>29638.05</v>
      </c>
      <c r="CN17" s="31">
        <v>43565.96</v>
      </c>
      <c r="CO17" s="31">
        <v>34597.06</v>
      </c>
      <c r="CP17" s="31">
        <v>12968.33</v>
      </c>
      <c r="CQ17" s="31">
        <v>26356.41</v>
      </c>
      <c r="CR17" s="31">
        <v>35858.699999999997</v>
      </c>
      <c r="CS17" s="68">
        <v>1</v>
      </c>
      <c r="CT17" s="29" t="s">
        <v>35</v>
      </c>
      <c r="CU17" s="45">
        <f>SUM(CV17:DD17)</f>
        <v>270830.26</v>
      </c>
      <c r="CV17" s="31">
        <f>CV11*14.9/100</f>
        <v>0</v>
      </c>
      <c r="CW17" s="31">
        <v>20105.96</v>
      </c>
      <c r="CX17" s="31">
        <v>54547.6</v>
      </c>
      <c r="CY17" s="31">
        <v>34430.69</v>
      </c>
      <c r="CZ17" s="31">
        <v>43785.26</v>
      </c>
      <c r="DA17" s="31">
        <v>37165.51</v>
      </c>
      <c r="DB17" s="31">
        <v>13931.07</v>
      </c>
      <c r="DC17" s="31">
        <v>28325.68</v>
      </c>
      <c r="DD17" s="31">
        <v>38538.49</v>
      </c>
    </row>
    <row r="18" spans="1:108" s="38" customFormat="1" ht="12">
      <c r="A18" s="71">
        <v>2</v>
      </c>
      <c r="B18" s="29" t="s">
        <v>36</v>
      </c>
      <c r="C18" s="45">
        <f t="shared" si="17"/>
        <v>439012.41400000005</v>
      </c>
      <c r="D18" s="31"/>
      <c r="E18" s="31">
        <f>Q18+AC18+AO18+BA18+BM18+BY18+CK18+CW18</f>
        <v>34060.878000000004</v>
      </c>
      <c r="F18" s="31">
        <f t="shared" si="18"/>
        <v>82785.65800000001</v>
      </c>
      <c r="G18" s="31">
        <f t="shared" si="18"/>
        <v>53520.644</v>
      </c>
      <c r="H18" s="31">
        <f t="shared" si="18"/>
        <v>76942.898000000001</v>
      </c>
      <c r="I18" s="31">
        <f t="shared" si="18"/>
        <v>60897.36</v>
      </c>
      <c r="J18" s="31">
        <f t="shared" si="18"/>
        <v>22826.892000000003</v>
      </c>
      <c r="K18" s="31">
        <f t="shared" si="18"/>
        <v>45742.775999999998</v>
      </c>
      <c r="L18" s="31">
        <f t="shared" ref="L18:L26" si="20">X18+AJ18+AV18+BH18+BT18+CF18+CR18+DD18</f>
        <v>62235.308000000005</v>
      </c>
      <c r="M18" s="72">
        <v>2</v>
      </c>
      <c r="N18" s="29" t="s">
        <v>36</v>
      </c>
      <c r="O18" s="45">
        <f t="shared" si="19"/>
        <v>52110.015999999996</v>
      </c>
      <c r="P18" s="31">
        <v>0</v>
      </c>
      <c r="Q18" s="31">
        <f t="shared" ref="Q18:X18" si="21">Q17*0.2</f>
        <v>4071.056</v>
      </c>
      <c r="R18" s="31">
        <f t="shared" si="21"/>
        <v>9970.18</v>
      </c>
      <c r="S18" s="31">
        <f t="shared" si="21"/>
        <v>5987.5360000000001</v>
      </c>
      <c r="T18" s="31">
        <f t="shared" si="21"/>
        <v>9118.1479999999992</v>
      </c>
      <c r="U18" s="52">
        <f t="shared" si="21"/>
        <v>7242.1399999999994</v>
      </c>
      <c r="V18" s="52">
        <f t="shared" si="21"/>
        <v>2714.6640000000002</v>
      </c>
      <c r="W18" s="52">
        <f t="shared" si="21"/>
        <v>5509.8320000000003</v>
      </c>
      <c r="X18" s="52">
        <f t="shared" si="21"/>
        <v>7496.4600000000009</v>
      </c>
      <c r="Y18" s="71">
        <v>2</v>
      </c>
      <c r="Z18" s="29" t="s">
        <v>36</v>
      </c>
      <c r="AA18" s="45">
        <f>SUM(AB18:AJ18)</f>
        <v>54117.278000000006</v>
      </c>
      <c r="AB18" s="31">
        <v>0</v>
      </c>
      <c r="AC18" s="31">
        <f t="shared" ref="AC18:AJ18" si="22">AC17*0.2</f>
        <v>4141.1540000000005</v>
      </c>
      <c r="AD18" s="31">
        <f t="shared" si="22"/>
        <v>10009.116000000002</v>
      </c>
      <c r="AE18" s="31">
        <f t="shared" si="22"/>
        <v>6533.0420000000004</v>
      </c>
      <c r="AF18" s="31">
        <f t="shared" si="22"/>
        <v>9024.8580000000002</v>
      </c>
      <c r="AG18" s="31">
        <f t="shared" si="22"/>
        <v>7354.2340000000004</v>
      </c>
      <c r="AH18" s="31">
        <f t="shared" si="22"/>
        <v>2756.6560000000004</v>
      </c>
      <c r="AI18" s="31">
        <f t="shared" si="22"/>
        <v>6057.1680000000006</v>
      </c>
      <c r="AJ18" s="31">
        <f t="shared" si="22"/>
        <v>8241.0500000000011</v>
      </c>
      <c r="AK18" s="71">
        <v>2</v>
      </c>
      <c r="AL18" s="29" t="s">
        <v>36</v>
      </c>
      <c r="AM18" s="45">
        <f>SUM(AN18:AV18)</f>
        <v>63076.600000000006</v>
      </c>
      <c r="AN18" s="31">
        <v>0</v>
      </c>
      <c r="AO18" s="31">
        <f>AO17*0.2</f>
        <v>5430.8</v>
      </c>
      <c r="AP18" s="31">
        <f>AP17*0.2</f>
        <v>11934.800000000001</v>
      </c>
      <c r="AQ18" s="31">
        <f>AQ17*0.2</f>
        <v>7769.6</v>
      </c>
      <c r="AR18" s="31">
        <f t="shared" ref="AR18:AV18" si="23">AR17*0.2</f>
        <v>11697</v>
      </c>
      <c r="AS18" s="31">
        <f t="shared" si="23"/>
        <v>8314</v>
      </c>
      <c r="AT18" s="31">
        <f t="shared" si="23"/>
        <v>3116.4</v>
      </c>
      <c r="AU18" s="31">
        <f t="shared" si="23"/>
        <v>6275.6</v>
      </c>
      <c r="AV18" s="31">
        <f t="shared" si="23"/>
        <v>8538.4</v>
      </c>
      <c r="AW18" s="71">
        <v>2</v>
      </c>
      <c r="AX18" s="29" t="s">
        <v>36</v>
      </c>
      <c r="AY18" s="45">
        <f>SUM(AZ18:BH18)</f>
        <v>59237.138000000006</v>
      </c>
      <c r="AZ18" s="31">
        <v>0</v>
      </c>
      <c r="BA18" s="31">
        <f>BA17*0.2</f>
        <v>4344.8</v>
      </c>
      <c r="BB18" s="31">
        <f>BB17*0.2</f>
        <v>10198.710000000001</v>
      </c>
      <c r="BC18" s="31">
        <f>BC17*0.2</f>
        <v>7598.8860000000004</v>
      </c>
      <c r="BD18" s="31">
        <f t="shared" ref="BD18:BH18" si="24">BD17*0.2</f>
        <v>11592.134</v>
      </c>
      <c r="BE18" s="31">
        <f t="shared" si="24"/>
        <v>8811.3940000000002</v>
      </c>
      <c r="BF18" s="31">
        <f t="shared" si="24"/>
        <v>3303.0140000000001</v>
      </c>
      <c r="BG18" s="31">
        <f t="shared" si="24"/>
        <v>5671.6779999999999</v>
      </c>
      <c r="BH18" s="31">
        <f t="shared" si="24"/>
        <v>7716.5220000000008</v>
      </c>
      <c r="BI18" s="71">
        <v>2</v>
      </c>
      <c r="BJ18" s="29" t="s">
        <v>36</v>
      </c>
      <c r="BK18" s="45">
        <f>SUM(BL18:BT18)</f>
        <v>53759.552000000003</v>
      </c>
      <c r="BL18" s="31">
        <v>0</v>
      </c>
      <c r="BM18" s="31">
        <f t="shared" ref="BM18:BT18" si="25">BM17*0.2</f>
        <v>4095.9320000000002</v>
      </c>
      <c r="BN18" s="31">
        <f t="shared" si="25"/>
        <v>9870.0020000000004</v>
      </c>
      <c r="BO18" s="31">
        <f t="shared" si="25"/>
        <v>6142.9400000000005</v>
      </c>
      <c r="BP18" s="31">
        <f t="shared" si="25"/>
        <v>9272.2300000000014</v>
      </c>
      <c r="BQ18" s="31">
        <f t="shared" si="25"/>
        <v>7682.4840000000004</v>
      </c>
      <c r="BR18" s="31">
        <f t="shared" si="25"/>
        <v>2879.7020000000002</v>
      </c>
      <c r="BS18" s="31">
        <f t="shared" si="25"/>
        <v>5852.9459999999999</v>
      </c>
      <c r="BT18" s="31">
        <f t="shared" si="25"/>
        <v>7963.3160000000007</v>
      </c>
      <c r="BU18" s="71">
        <v>2</v>
      </c>
      <c r="BV18" s="29" t="s">
        <v>36</v>
      </c>
      <c r="BW18" s="45">
        <f>SUM(BX18:CF18)</f>
        <v>52641.24</v>
      </c>
      <c r="BX18" s="31">
        <v>0</v>
      </c>
      <c r="BY18" s="31">
        <f t="shared" ref="BY18:CF18" si="26">BY17*0.2</f>
        <v>4039.3180000000002</v>
      </c>
      <c r="BZ18" s="31">
        <f t="shared" si="26"/>
        <v>10502.32</v>
      </c>
      <c r="CA18" s="31">
        <f t="shared" si="26"/>
        <v>6674.8919999999998</v>
      </c>
      <c r="CB18" s="31">
        <f t="shared" si="26"/>
        <v>8768.2839999999997</v>
      </c>
      <c r="CC18" s="31">
        <f t="shared" si="26"/>
        <v>7140.594000000001</v>
      </c>
      <c r="CD18" s="31">
        <f t="shared" si="26"/>
        <v>2676.576</v>
      </c>
      <c r="CE18" s="31">
        <f t="shared" si="26"/>
        <v>5439.134</v>
      </c>
      <c r="CF18" s="31">
        <f t="shared" si="26"/>
        <v>7400.1220000000003</v>
      </c>
      <c r="CG18" s="71">
        <v>2</v>
      </c>
      <c r="CH18" s="29" t="s">
        <v>36</v>
      </c>
      <c r="CI18" s="45">
        <f>SUM(CJ18:CR18)</f>
        <v>49904.538</v>
      </c>
      <c r="CJ18" s="31">
        <v>0</v>
      </c>
      <c r="CK18" s="31">
        <f>CK17*0.2</f>
        <v>3916.6260000000002</v>
      </c>
      <c r="CL18" s="31">
        <f>CL17*0.2</f>
        <v>9391.01</v>
      </c>
      <c r="CM18" s="31">
        <f>CM17*0.2</f>
        <v>5927.6100000000006</v>
      </c>
      <c r="CN18" s="31">
        <f>CN17*0.2</f>
        <v>8713.1920000000009</v>
      </c>
      <c r="CO18" s="31">
        <f>CO17*0.2</f>
        <v>6919.4120000000003</v>
      </c>
      <c r="CP18" s="31">
        <f>CP17*0.2</f>
        <v>2593.6660000000002</v>
      </c>
      <c r="CQ18" s="31">
        <f>CQ17*0.2</f>
        <v>5271.2820000000002</v>
      </c>
      <c r="CR18" s="31">
        <f>CR17*0.2</f>
        <v>7171.74</v>
      </c>
      <c r="CS18" s="71">
        <v>2</v>
      </c>
      <c r="CT18" s="29" t="s">
        <v>36</v>
      </c>
      <c r="CU18" s="45">
        <f>SUM(CV18:DD18)</f>
        <v>54166.051999999996</v>
      </c>
      <c r="CV18" s="31">
        <v>0</v>
      </c>
      <c r="CW18" s="31">
        <f t="shared" ref="CW18" si="27">CW17*0.2</f>
        <v>4021.192</v>
      </c>
      <c r="CX18" s="31">
        <f t="shared" ref="CX18" si="28">CX17*0.2</f>
        <v>10909.52</v>
      </c>
      <c r="CY18" s="31">
        <f t="shared" ref="CY18" si="29">CY17*0.2</f>
        <v>6886.1380000000008</v>
      </c>
      <c r="CZ18" s="31">
        <f t="shared" ref="CZ18" si="30">CZ17*0.2</f>
        <v>8757.0520000000015</v>
      </c>
      <c r="DA18" s="31">
        <f t="shared" ref="DA18" si="31">DA17*0.2</f>
        <v>7433.1020000000008</v>
      </c>
      <c r="DB18" s="31">
        <f t="shared" ref="DB18" si="32">DB17*0.2</f>
        <v>2786.2139999999999</v>
      </c>
      <c r="DC18" s="31">
        <f t="shared" ref="DC18" si="33">DC17*0.2</f>
        <v>5665.1360000000004</v>
      </c>
      <c r="DD18" s="31">
        <f t="shared" ref="DD18" si="34">DD17*0.2</f>
        <v>7707.6980000000003</v>
      </c>
    </row>
    <row r="19" spans="1:108" s="38" customFormat="1" ht="12">
      <c r="A19" s="71">
        <v>3</v>
      </c>
      <c r="B19" s="29" t="s">
        <v>37</v>
      </c>
      <c r="C19" s="45">
        <f t="shared" si="17"/>
        <v>19793.081769999997</v>
      </c>
      <c r="D19" s="31"/>
      <c r="E19" s="31">
        <f>Q19+AC19+AO19+BA19+BM19+BY19+CK19+CW19</f>
        <v>1531.37923</v>
      </c>
      <c r="F19" s="31">
        <f t="shared" si="18"/>
        <v>3724.8545000000004</v>
      </c>
      <c r="G19" s="31">
        <f t="shared" si="18"/>
        <v>2350.6902499999997</v>
      </c>
      <c r="H19" s="31">
        <f t="shared" si="18"/>
        <v>3400.1648499999997</v>
      </c>
      <c r="I19" s="31">
        <f t="shared" si="18"/>
        <v>2725.4478300000001</v>
      </c>
      <c r="J19" s="31">
        <f t="shared" si="18"/>
        <v>1021.6103199999998</v>
      </c>
      <c r="K19" s="31">
        <f t="shared" si="18"/>
        <v>2134.6427599999997</v>
      </c>
      <c r="L19" s="31">
        <f t="shared" si="20"/>
        <v>2904.2920299999996</v>
      </c>
      <c r="M19" s="72">
        <v>3</v>
      </c>
      <c r="N19" s="29" t="s">
        <v>37</v>
      </c>
      <c r="O19" s="45">
        <f t="shared" si="19"/>
        <v>8077.0524800000003</v>
      </c>
      <c r="P19" s="31"/>
      <c r="Q19" s="31">
        <f t="shared" ref="Q19:X19" si="35">Q17*0.031</f>
        <v>631.01367999999991</v>
      </c>
      <c r="R19" s="31">
        <f t="shared" si="35"/>
        <v>1545.3779</v>
      </c>
      <c r="S19" s="31">
        <f t="shared" si="35"/>
        <v>928.06808000000001</v>
      </c>
      <c r="T19" s="31">
        <f t="shared" si="35"/>
        <v>1413.31294</v>
      </c>
      <c r="U19" s="52">
        <f t="shared" si="35"/>
        <v>1122.5317</v>
      </c>
      <c r="V19" s="52">
        <f t="shared" si="35"/>
        <v>420.77292</v>
      </c>
      <c r="W19" s="52">
        <f t="shared" si="35"/>
        <v>854.02395999999999</v>
      </c>
      <c r="X19" s="52">
        <f t="shared" si="35"/>
        <v>1161.9513000000002</v>
      </c>
      <c r="Y19" s="71">
        <v>3</v>
      </c>
      <c r="Z19" s="29" t="s">
        <v>38</v>
      </c>
      <c r="AA19" s="45">
        <f>SUM(AB19:AJ19)</f>
        <v>8388.1780899999994</v>
      </c>
      <c r="AB19" s="31"/>
      <c r="AC19" s="31">
        <f t="shared" ref="AC19:AJ19" si="36">AC17*0.031</f>
        <v>641.87887000000001</v>
      </c>
      <c r="AD19" s="31">
        <f t="shared" si="36"/>
        <v>1551.4129800000001</v>
      </c>
      <c r="AE19" s="31">
        <f t="shared" si="36"/>
        <v>1012.6215099999999</v>
      </c>
      <c r="AF19" s="31">
        <f t="shared" si="36"/>
        <v>1398.8529900000001</v>
      </c>
      <c r="AG19" s="31">
        <f t="shared" si="36"/>
        <v>1139.9062699999999</v>
      </c>
      <c r="AH19" s="31">
        <f t="shared" si="36"/>
        <v>427.28167999999999</v>
      </c>
      <c r="AI19" s="31">
        <f t="shared" si="36"/>
        <v>938.86104</v>
      </c>
      <c r="AJ19" s="31">
        <f t="shared" si="36"/>
        <v>1277.36275</v>
      </c>
      <c r="AK19" s="71">
        <v>3</v>
      </c>
      <c r="AL19" s="29" t="s">
        <v>38</v>
      </c>
      <c r="AM19" s="45">
        <f>SUM(AN19:AV19)</f>
        <v>630.76599999999996</v>
      </c>
      <c r="AN19" s="31"/>
      <c r="AO19" s="31">
        <f t="shared" ref="AO19:AV19" si="37">AO17*0.002</f>
        <v>54.308</v>
      </c>
      <c r="AP19" s="31">
        <f t="shared" si="37"/>
        <v>119.348</v>
      </c>
      <c r="AQ19" s="31">
        <f t="shared" si="37"/>
        <v>77.695999999999998</v>
      </c>
      <c r="AR19" s="31">
        <f t="shared" si="37"/>
        <v>116.97</v>
      </c>
      <c r="AS19" s="31">
        <f t="shared" si="37"/>
        <v>83.14</v>
      </c>
      <c r="AT19" s="31">
        <f t="shared" si="37"/>
        <v>31.164000000000001</v>
      </c>
      <c r="AU19" s="31">
        <f t="shared" si="37"/>
        <v>62.756</v>
      </c>
      <c r="AV19" s="31">
        <f t="shared" si="37"/>
        <v>85.384</v>
      </c>
      <c r="AW19" s="71">
        <v>3</v>
      </c>
      <c r="AX19" s="29" t="s">
        <v>38</v>
      </c>
      <c r="AY19" s="45">
        <f>SUM(AZ19:BH19)</f>
        <v>592.37138000000004</v>
      </c>
      <c r="AZ19" s="31"/>
      <c r="BA19" s="31">
        <f t="shared" ref="BA19:BH19" si="38">BA17*0.002</f>
        <v>43.448</v>
      </c>
      <c r="BB19" s="31">
        <f t="shared" si="38"/>
        <v>101.98710000000001</v>
      </c>
      <c r="BC19" s="31">
        <f t="shared" si="38"/>
        <v>75.988860000000003</v>
      </c>
      <c r="BD19" s="31">
        <f t="shared" si="38"/>
        <v>115.92134</v>
      </c>
      <c r="BE19" s="31">
        <f t="shared" si="38"/>
        <v>88.113939999999999</v>
      </c>
      <c r="BF19" s="31">
        <f t="shared" si="38"/>
        <v>33.030140000000003</v>
      </c>
      <c r="BG19" s="31">
        <f t="shared" si="38"/>
        <v>56.71678</v>
      </c>
      <c r="BH19" s="31">
        <f t="shared" si="38"/>
        <v>77.165220000000005</v>
      </c>
      <c r="BI19" s="71">
        <v>3</v>
      </c>
      <c r="BJ19" s="29" t="s">
        <v>38</v>
      </c>
      <c r="BK19" s="45">
        <f>SUM(BL19:BT19)</f>
        <v>537.59551999999996</v>
      </c>
      <c r="BL19" s="31"/>
      <c r="BM19" s="31">
        <f t="shared" ref="BM19:BT19" si="39">BM17*0.002</f>
        <v>40.959319999999998</v>
      </c>
      <c r="BN19" s="31">
        <f t="shared" si="39"/>
        <v>98.700020000000009</v>
      </c>
      <c r="BO19" s="31">
        <f t="shared" si="39"/>
        <v>61.429400000000001</v>
      </c>
      <c r="BP19" s="31">
        <f t="shared" si="39"/>
        <v>92.722300000000004</v>
      </c>
      <c r="BQ19" s="31">
        <f t="shared" si="39"/>
        <v>76.824839999999995</v>
      </c>
      <c r="BR19" s="31">
        <f t="shared" si="39"/>
        <v>28.79702</v>
      </c>
      <c r="BS19" s="31">
        <f t="shared" si="39"/>
        <v>58.52946</v>
      </c>
      <c r="BT19" s="31">
        <f t="shared" si="39"/>
        <v>79.633160000000004</v>
      </c>
      <c r="BU19" s="71">
        <v>3</v>
      </c>
      <c r="BV19" s="29" t="s">
        <v>38</v>
      </c>
      <c r="BW19" s="45">
        <f>SUM(BX19:CF19)</f>
        <v>526.41240000000005</v>
      </c>
      <c r="BX19" s="31"/>
      <c r="BY19" s="31">
        <f t="shared" ref="BY19:CF19" si="40">BY17*0.002</f>
        <v>40.393180000000001</v>
      </c>
      <c r="BZ19" s="31">
        <f t="shared" si="40"/>
        <v>105.0232</v>
      </c>
      <c r="CA19" s="31">
        <f t="shared" si="40"/>
        <v>66.748919999999998</v>
      </c>
      <c r="CB19" s="31">
        <f t="shared" si="40"/>
        <v>87.682839999999999</v>
      </c>
      <c r="CC19" s="31">
        <f t="shared" si="40"/>
        <v>71.405940000000001</v>
      </c>
      <c r="CD19" s="31">
        <f t="shared" si="40"/>
        <v>26.76576</v>
      </c>
      <c r="CE19" s="31">
        <f t="shared" si="40"/>
        <v>54.39134</v>
      </c>
      <c r="CF19" s="31">
        <f t="shared" si="40"/>
        <v>74.001220000000004</v>
      </c>
      <c r="CG19" s="71">
        <v>3</v>
      </c>
      <c r="CH19" s="29" t="s">
        <v>38</v>
      </c>
      <c r="CI19" s="45">
        <f>SUM(CJ19:CR19)</f>
        <v>499.04538000000002</v>
      </c>
      <c r="CJ19" s="31"/>
      <c r="CK19" s="31">
        <f>CK17*0.002</f>
        <v>39.166260000000001</v>
      </c>
      <c r="CL19" s="31">
        <f>CL17*0.002</f>
        <v>93.910100000000014</v>
      </c>
      <c r="CM19" s="31">
        <f>CM17*0.002</f>
        <v>59.2761</v>
      </c>
      <c r="CN19" s="31">
        <f>CN17*0.002</f>
        <v>87.131919999999994</v>
      </c>
      <c r="CO19" s="31">
        <f>CO17*0.002</f>
        <v>69.194119999999998</v>
      </c>
      <c r="CP19" s="31">
        <f>CP17*0.002</f>
        <v>25.93666</v>
      </c>
      <c r="CQ19" s="31">
        <f>CQ17*0.002</f>
        <v>52.712820000000001</v>
      </c>
      <c r="CR19" s="31">
        <f>CR17*0.002</f>
        <v>71.717399999999998</v>
      </c>
      <c r="CS19" s="71">
        <v>3</v>
      </c>
      <c r="CT19" s="29" t="s">
        <v>38</v>
      </c>
      <c r="CU19" s="45">
        <f>SUM(CV19:DD19)</f>
        <v>541.66052000000002</v>
      </c>
      <c r="CV19" s="31"/>
      <c r="CW19" s="31">
        <f t="shared" ref="CW19:DD19" si="41">CW17*0.002</f>
        <v>40.211919999999999</v>
      </c>
      <c r="CX19" s="31">
        <f t="shared" si="41"/>
        <v>109.09520000000001</v>
      </c>
      <c r="CY19" s="31">
        <f t="shared" si="41"/>
        <v>68.861380000000011</v>
      </c>
      <c r="CZ19" s="31">
        <f t="shared" si="41"/>
        <v>87.570520000000002</v>
      </c>
      <c r="DA19" s="31">
        <f t="shared" si="41"/>
        <v>74.331020000000009</v>
      </c>
      <c r="DB19" s="31">
        <f t="shared" si="41"/>
        <v>27.86214</v>
      </c>
      <c r="DC19" s="31">
        <f t="shared" si="41"/>
        <v>56.651360000000004</v>
      </c>
      <c r="DD19" s="31">
        <f t="shared" si="41"/>
        <v>77.076979999999992</v>
      </c>
    </row>
    <row r="20" spans="1:108" s="38" customFormat="1" ht="12">
      <c r="A20" s="71">
        <v>4</v>
      </c>
      <c r="B20" s="29" t="s">
        <v>39</v>
      </c>
      <c r="C20" s="45">
        <f t="shared" si="17"/>
        <v>85586.75</v>
      </c>
      <c r="D20" s="31"/>
      <c r="E20" s="31">
        <f>Q20+AC20+AO20+BA20+BM20+BY20+CK20+CW20</f>
        <v>6897.5599999999995</v>
      </c>
      <c r="F20" s="31">
        <f t="shared" si="18"/>
        <v>14791.420000000002</v>
      </c>
      <c r="G20" s="31">
        <f t="shared" si="18"/>
        <v>10327.010000000002</v>
      </c>
      <c r="H20" s="31">
        <f t="shared" si="18"/>
        <v>16085.48</v>
      </c>
      <c r="I20" s="31">
        <f t="shared" si="18"/>
        <v>11768.420000000002</v>
      </c>
      <c r="J20" s="31">
        <f t="shared" si="18"/>
        <v>4411.08</v>
      </c>
      <c r="K20" s="31">
        <f t="shared" si="18"/>
        <v>9026.43</v>
      </c>
      <c r="L20" s="31">
        <f t="shared" si="20"/>
        <v>12279.350000000002</v>
      </c>
      <c r="M20" s="72">
        <v>4</v>
      </c>
      <c r="N20" s="29" t="s">
        <v>39</v>
      </c>
      <c r="O20" s="45">
        <f t="shared" si="19"/>
        <v>5554</v>
      </c>
      <c r="P20" s="31">
        <v>0</v>
      </c>
      <c r="Q20" s="31">
        <v>445.5</v>
      </c>
      <c r="R20" s="31">
        <v>955.35</v>
      </c>
      <c r="S20" s="31">
        <v>693.1</v>
      </c>
      <c r="T20" s="31">
        <v>1038.95</v>
      </c>
      <c r="U20" s="52">
        <v>760.1</v>
      </c>
      <c r="V20" s="52">
        <v>284.89999999999998</v>
      </c>
      <c r="W20" s="52">
        <v>583</v>
      </c>
      <c r="X20" s="52">
        <v>793.1</v>
      </c>
      <c r="Y20" s="71">
        <v>4</v>
      </c>
      <c r="Z20" s="29" t="s">
        <v>39</v>
      </c>
      <c r="AA20" s="45">
        <f t="shared" ref="AA20" si="42">SUM(AC20:AJ20)</f>
        <v>46709.05</v>
      </c>
      <c r="AB20" s="31">
        <v>0</v>
      </c>
      <c r="AC20" s="31">
        <f>445.5+3333.56</f>
        <v>3779.06</v>
      </c>
      <c r="AD20" s="31">
        <f>955.35+7148.62</f>
        <v>8103.97</v>
      </c>
      <c r="AE20" s="31">
        <f>693.1+4782.21</f>
        <v>5475.31</v>
      </c>
      <c r="AF20" s="31">
        <f>1038.95+7774.18</f>
        <v>8813.130000000001</v>
      </c>
      <c r="AG20" s="52">
        <f>760.1+5687.62</f>
        <v>6447.72</v>
      </c>
      <c r="AH20" s="52">
        <f>284.9+2131.88</f>
        <v>2416.7800000000002</v>
      </c>
      <c r="AI20" s="52">
        <f>583+4362.43</f>
        <v>4945.43</v>
      </c>
      <c r="AJ20" s="52">
        <f>793.1+5934.55</f>
        <v>6727.6500000000005</v>
      </c>
      <c r="AK20" s="71">
        <v>4</v>
      </c>
      <c r="AL20" s="29" t="s">
        <v>39</v>
      </c>
      <c r="AM20" s="45">
        <f t="shared" ref="AM20" si="43">SUM(AO20:AV20)</f>
        <v>5553.95</v>
      </c>
      <c r="AN20" s="31">
        <v>0</v>
      </c>
      <c r="AO20" s="31">
        <f>445.5</f>
        <v>445.5</v>
      </c>
      <c r="AP20" s="31">
        <f>955.35</f>
        <v>955.35</v>
      </c>
      <c r="AQ20" s="31">
        <f>693.1</f>
        <v>693.1</v>
      </c>
      <c r="AR20" s="31">
        <f>1038.9</f>
        <v>1038.9000000000001</v>
      </c>
      <c r="AS20" s="52">
        <f>760.1</f>
        <v>760.1</v>
      </c>
      <c r="AT20" s="52">
        <f>284.9</f>
        <v>284.89999999999998</v>
      </c>
      <c r="AU20" s="52">
        <f>583</f>
        <v>583</v>
      </c>
      <c r="AV20" s="52">
        <f>793.1</f>
        <v>793.1</v>
      </c>
      <c r="AW20" s="71">
        <v>4</v>
      </c>
      <c r="AX20" s="29" t="s">
        <v>39</v>
      </c>
      <c r="AY20" s="45">
        <f t="shared" ref="AY20" si="44">SUM(BA20:BH20)</f>
        <v>5553.95</v>
      </c>
      <c r="AZ20" s="31">
        <v>0</v>
      </c>
      <c r="BA20" s="31">
        <f>445.5</f>
        <v>445.5</v>
      </c>
      <c r="BB20" s="31">
        <f>955.35</f>
        <v>955.35</v>
      </c>
      <c r="BC20" s="31">
        <f>693.1</f>
        <v>693.1</v>
      </c>
      <c r="BD20" s="31">
        <f>1038.9</f>
        <v>1038.9000000000001</v>
      </c>
      <c r="BE20" s="52">
        <f>760.1</f>
        <v>760.1</v>
      </c>
      <c r="BF20" s="52">
        <f>284.9</f>
        <v>284.89999999999998</v>
      </c>
      <c r="BG20" s="52">
        <f>583</f>
        <v>583</v>
      </c>
      <c r="BH20" s="52">
        <f>793.1</f>
        <v>793.1</v>
      </c>
      <c r="BI20" s="71">
        <v>4</v>
      </c>
      <c r="BJ20" s="29" t="s">
        <v>39</v>
      </c>
      <c r="BK20" s="45">
        <f t="shared" ref="BK20" si="45">SUM(BM20:BT20)</f>
        <v>5553.95</v>
      </c>
      <c r="BL20" s="31">
        <v>0</v>
      </c>
      <c r="BM20" s="31">
        <f>445.5</f>
        <v>445.5</v>
      </c>
      <c r="BN20" s="31">
        <f>955.35</f>
        <v>955.35</v>
      </c>
      <c r="BO20" s="31">
        <f>693.1</f>
        <v>693.1</v>
      </c>
      <c r="BP20" s="31">
        <f>1038.9</f>
        <v>1038.9000000000001</v>
      </c>
      <c r="BQ20" s="52">
        <f>760.1</f>
        <v>760.1</v>
      </c>
      <c r="BR20" s="52">
        <f>284.9</f>
        <v>284.89999999999998</v>
      </c>
      <c r="BS20" s="52">
        <f>583</f>
        <v>583</v>
      </c>
      <c r="BT20" s="52">
        <f>793.1</f>
        <v>793.1</v>
      </c>
      <c r="BU20" s="71">
        <v>4</v>
      </c>
      <c r="BV20" s="29" t="s">
        <v>39</v>
      </c>
      <c r="BW20" s="45">
        <f t="shared" ref="BW20" si="46">SUM(BY20:CF20)</f>
        <v>5553.95</v>
      </c>
      <c r="BX20" s="31">
        <v>0</v>
      </c>
      <c r="BY20" s="31">
        <f>445.5</f>
        <v>445.5</v>
      </c>
      <c r="BZ20" s="31">
        <f>955.35</f>
        <v>955.35</v>
      </c>
      <c r="CA20" s="31">
        <f>693.1</f>
        <v>693.1</v>
      </c>
      <c r="CB20" s="31">
        <f>1038.9</f>
        <v>1038.9000000000001</v>
      </c>
      <c r="CC20" s="52">
        <f>760.1</f>
        <v>760.1</v>
      </c>
      <c r="CD20" s="52">
        <f>284.9</f>
        <v>284.89999999999998</v>
      </c>
      <c r="CE20" s="52">
        <f>583</f>
        <v>583</v>
      </c>
      <c r="CF20" s="52">
        <f>793.1</f>
        <v>793.1</v>
      </c>
      <c r="CG20" s="71">
        <v>4</v>
      </c>
      <c r="CH20" s="29" t="s">
        <v>39</v>
      </c>
      <c r="CI20" s="45">
        <f t="shared" ref="CI20" si="47">SUM(CK20:CR20)</f>
        <v>5553.95</v>
      </c>
      <c r="CJ20" s="31">
        <v>0</v>
      </c>
      <c r="CK20" s="31">
        <f>445.5</f>
        <v>445.5</v>
      </c>
      <c r="CL20" s="31">
        <f>955.35</f>
        <v>955.35</v>
      </c>
      <c r="CM20" s="31">
        <f>693.1</f>
        <v>693.1</v>
      </c>
      <c r="CN20" s="31">
        <f>1038.9</f>
        <v>1038.9000000000001</v>
      </c>
      <c r="CO20" s="52">
        <f>760.1</f>
        <v>760.1</v>
      </c>
      <c r="CP20" s="52">
        <f>284.9</f>
        <v>284.89999999999998</v>
      </c>
      <c r="CQ20" s="52">
        <f>583</f>
        <v>583</v>
      </c>
      <c r="CR20" s="52">
        <f>793.1</f>
        <v>793.1</v>
      </c>
      <c r="CS20" s="71">
        <v>4</v>
      </c>
      <c r="CT20" s="29" t="s">
        <v>39</v>
      </c>
      <c r="CU20" s="45">
        <f t="shared" ref="CU20" si="48">SUM(CW20:DD20)</f>
        <v>5553.95</v>
      </c>
      <c r="CV20" s="31">
        <v>0</v>
      </c>
      <c r="CW20" s="31">
        <f>445.5</f>
        <v>445.5</v>
      </c>
      <c r="CX20" s="31">
        <f>955.35</f>
        <v>955.35</v>
      </c>
      <c r="CY20" s="31">
        <f>693.1</f>
        <v>693.1</v>
      </c>
      <c r="CZ20" s="31">
        <f>1038.9</f>
        <v>1038.9000000000001</v>
      </c>
      <c r="DA20" s="52">
        <f>760.1</f>
        <v>760.1</v>
      </c>
      <c r="DB20" s="52">
        <f>284.9</f>
        <v>284.89999999999998</v>
      </c>
      <c r="DC20" s="52">
        <f>583</f>
        <v>583</v>
      </c>
      <c r="DD20" s="52">
        <f>793.1</f>
        <v>793.1</v>
      </c>
    </row>
    <row r="21" spans="1:108" s="8" customFormat="1" ht="12">
      <c r="A21" s="71">
        <v>5</v>
      </c>
      <c r="B21" s="29" t="s">
        <v>40</v>
      </c>
      <c r="C21" s="45">
        <f t="shared" si="17"/>
        <v>148127.50371599998</v>
      </c>
      <c r="D21" s="42"/>
      <c r="E21" s="31">
        <f>Q21+AC21+AO21+BA21+BM21+BY21+CK21+CW21</f>
        <v>12137.75</v>
      </c>
      <c r="F21" s="31">
        <f t="shared" si="18"/>
        <v>26029</v>
      </c>
      <c r="G21" s="31">
        <f t="shared" si="18"/>
        <v>17412.84</v>
      </c>
      <c r="H21" s="31">
        <f t="shared" si="18"/>
        <v>28306.520000000004</v>
      </c>
      <c r="I21" s="31">
        <f t="shared" si="18"/>
        <v>20709.25</v>
      </c>
      <c r="J21" s="31">
        <f t="shared" si="18"/>
        <v>7762.2300000000005</v>
      </c>
      <c r="K21" s="31">
        <f t="shared" si="18"/>
        <v>15884.46</v>
      </c>
      <c r="L21" s="31">
        <f t="shared" si="20"/>
        <v>19885.453715999996</v>
      </c>
      <c r="M21" s="72">
        <v>5</v>
      </c>
      <c r="N21" s="29" t="s">
        <v>40</v>
      </c>
      <c r="O21" s="45">
        <f t="shared" si="19"/>
        <v>20946.240000000002</v>
      </c>
      <c r="P21" s="31">
        <v>0</v>
      </c>
      <c r="Q21" s="31">
        <v>1696.65</v>
      </c>
      <c r="R21" s="31">
        <v>3638.36</v>
      </c>
      <c r="S21" s="31">
        <v>2433.9499999999998</v>
      </c>
      <c r="T21" s="31">
        <v>3956.74</v>
      </c>
      <c r="U21" s="52">
        <v>2894.77</v>
      </c>
      <c r="V21" s="52">
        <v>1085.02</v>
      </c>
      <c r="W21" s="52">
        <v>2220.3000000000002</v>
      </c>
      <c r="X21" s="52">
        <v>3020.45</v>
      </c>
      <c r="Y21" s="71">
        <v>5</v>
      </c>
      <c r="Z21" s="29" t="s">
        <v>40</v>
      </c>
      <c r="AA21" s="45">
        <f>SUM(AB21:AJ21)</f>
        <v>22275.99</v>
      </c>
      <c r="AB21" s="31">
        <v>0</v>
      </c>
      <c r="AC21" s="31">
        <v>1804.36</v>
      </c>
      <c r="AD21" s="31">
        <v>3869.34</v>
      </c>
      <c r="AE21" s="31">
        <v>2588.4699999999998</v>
      </c>
      <c r="AF21" s="31">
        <v>4207.93</v>
      </c>
      <c r="AG21" s="31">
        <v>3078.54</v>
      </c>
      <c r="AH21" s="31">
        <v>1153.9000000000001</v>
      </c>
      <c r="AI21" s="31">
        <v>2361.25</v>
      </c>
      <c r="AJ21" s="31">
        <v>3212.2</v>
      </c>
      <c r="AK21" s="71">
        <v>5</v>
      </c>
      <c r="AL21" s="29" t="s">
        <v>40</v>
      </c>
      <c r="AM21" s="45">
        <f>SUM(AN21:AV21)</f>
        <v>22698.603716000001</v>
      </c>
      <c r="AN21" s="31">
        <v>0</v>
      </c>
      <c r="AO21" s="31">
        <v>1978</v>
      </c>
      <c r="AP21" s="31">
        <v>4242</v>
      </c>
      <c r="AQ21" s="31">
        <v>2838</v>
      </c>
      <c r="AR21" s="31">
        <v>4613</v>
      </c>
      <c r="AS21" s="31">
        <v>3375</v>
      </c>
      <c r="AT21" s="31">
        <v>1265</v>
      </c>
      <c r="AU21" s="31">
        <v>2589</v>
      </c>
      <c r="AV21" s="31">
        <f>[1]Разное!$G$11</f>
        <v>1798.6037159999998</v>
      </c>
      <c r="AW21" s="71">
        <v>5</v>
      </c>
      <c r="AX21" s="29" t="s">
        <v>40</v>
      </c>
      <c r="AY21" s="45">
        <f>SUM(AZ21:BH21)</f>
        <v>19276.330000000002</v>
      </c>
      <c r="AZ21" s="31">
        <v>0</v>
      </c>
      <c r="BA21" s="31">
        <v>1561.38</v>
      </c>
      <c r="BB21" s="31">
        <v>3348.3</v>
      </c>
      <c r="BC21" s="31">
        <v>2239.91</v>
      </c>
      <c r="BD21" s="31">
        <v>3641.3</v>
      </c>
      <c r="BE21" s="31">
        <v>2663.99</v>
      </c>
      <c r="BF21" s="31">
        <v>998.51</v>
      </c>
      <c r="BG21" s="31">
        <v>2043.29</v>
      </c>
      <c r="BH21" s="31">
        <v>2779.65</v>
      </c>
      <c r="BI21" s="71">
        <v>5</v>
      </c>
      <c r="BJ21" s="29" t="s">
        <v>40</v>
      </c>
      <c r="BK21" s="45">
        <f>SUM(BL21:BT21)</f>
        <v>20206.52</v>
      </c>
      <c r="BL21" s="31">
        <v>0</v>
      </c>
      <c r="BM21" s="31">
        <v>1636.73</v>
      </c>
      <c r="BN21" s="31">
        <v>3509.87</v>
      </c>
      <c r="BO21" s="31">
        <v>2348</v>
      </c>
      <c r="BP21" s="31">
        <v>3817.01</v>
      </c>
      <c r="BQ21" s="31">
        <v>2792.54</v>
      </c>
      <c r="BR21" s="31">
        <v>1046.7</v>
      </c>
      <c r="BS21" s="31">
        <v>2141.89</v>
      </c>
      <c r="BT21" s="31">
        <v>2913.78</v>
      </c>
      <c r="BU21" s="71">
        <v>5</v>
      </c>
      <c r="BV21" s="29" t="s">
        <v>40</v>
      </c>
      <c r="BW21" s="45">
        <f>SUM(BX21:CF21)</f>
        <v>15455.920000000002</v>
      </c>
      <c r="BX21" s="31">
        <v>0</v>
      </c>
      <c r="BY21" s="31">
        <v>1251.93</v>
      </c>
      <c r="BZ21" s="31">
        <v>2684.69</v>
      </c>
      <c r="CA21" s="31">
        <v>1795.98</v>
      </c>
      <c r="CB21" s="31">
        <v>2919.62</v>
      </c>
      <c r="CC21" s="31">
        <v>2136.0100000000002</v>
      </c>
      <c r="CD21" s="31">
        <v>800.62</v>
      </c>
      <c r="CE21" s="31">
        <v>1638.33</v>
      </c>
      <c r="CF21" s="31">
        <v>2228.7399999999998</v>
      </c>
      <c r="CG21" s="71">
        <v>5</v>
      </c>
      <c r="CH21" s="29" t="s">
        <v>40</v>
      </c>
      <c r="CI21" s="45">
        <f>SUM(CJ21:CR21)</f>
        <v>14794.94</v>
      </c>
      <c r="CJ21" s="31">
        <v>0</v>
      </c>
      <c r="CK21" s="31">
        <v>1198.3900000000001</v>
      </c>
      <c r="CL21" s="31">
        <v>2569.88</v>
      </c>
      <c r="CM21" s="31">
        <v>1719.17</v>
      </c>
      <c r="CN21" s="31">
        <v>2794.77</v>
      </c>
      <c r="CO21" s="31">
        <v>2044.66</v>
      </c>
      <c r="CP21" s="31">
        <v>766.38</v>
      </c>
      <c r="CQ21" s="31">
        <v>1568.26</v>
      </c>
      <c r="CR21" s="31">
        <v>2133.4299999999998</v>
      </c>
      <c r="CS21" s="71">
        <v>5</v>
      </c>
      <c r="CT21" s="29" t="s">
        <v>40</v>
      </c>
      <c r="CU21" s="45">
        <f>SUM(CV21:DD21)</f>
        <v>12472.96</v>
      </c>
      <c r="CV21" s="31">
        <v>0</v>
      </c>
      <c r="CW21" s="31">
        <v>1010.31</v>
      </c>
      <c r="CX21" s="31">
        <v>2166.56</v>
      </c>
      <c r="CY21" s="31">
        <v>1449.36</v>
      </c>
      <c r="CZ21" s="31">
        <v>2356.15</v>
      </c>
      <c r="DA21" s="31">
        <v>1723.74</v>
      </c>
      <c r="DB21" s="31">
        <v>646.1</v>
      </c>
      <c r="DC21" s="31">
        <v>1322.14</v>
      </c>
      <c r="DD21" s="31">
        <v>1798.6</v>
      </c>
    </row>
    <row r="22" spans="1:108" s="38" customFormat="1" ht="12">
      <c r="A22" s="71">
        <v>6</v>
      </c>
      <c r="B22" s="29" t="s">
        <v>42</v>
      </c>
      <c r="C22" s="45">
        <f t="shared" si="17"/>
        <v>25236.750000000004</v>
      </c>
      <c r="D22" s="31"/>
      <c r="E22" s="31">
        <f>Q22+AC22+AO22+BA22+BM22+BY22+CK22+CW22</f>
        <v>2043.66</v>
      </c>
      <c r="F22" s="31">
        <f t="shared" si="18"/>
        <v>4384.1100000000006</v>
      </c>
      <c r="G22" s="31">
        <f t="shared" si="18"/>
        <v>2932.84</v>
      </c>
      <c r="H22" s="31">
        <f t="shared" si="18"/>
        <v>4766.6299999999992</v>
      </c>
      <c r="I22" s="31">
        <f t="shared" si="18"/>
        <v>3488.32</v>
      </c>
      <c r="J22" s="31">
        <f t="shared" si="18"/>
        <v>1307.17</v>
      </c>
      <c r="K22" s="31">
        <f t="shared" si="18"/>
        <v>2675</v>
      </c>
      <c r="L22" s="31">
        <f t="shared" si="20"/>
        <v>3639.0199999999995</v>
      </c>
      <c r="M22" s="72">
        <v>6</v>
      </c>
      <c r="N22" s="29" t="s">
        <v>41</v>
      </c>
      <c r="O22" s="45">
        <f t="shared" si="19"/>
        <v>2896.1099999999997</v>
      </c>
      <c r="P22" s="31">
        <v>0</v>
      </c>
      <c r="Q22" s="31">
        <v>234.58</v>
      </c>
      <c r="R22" s="31">
        <v>503.05</v>
      </c>
      <c r="S22" s="31">
        <v>336.53</v>
      </c>
      <c r="T22" s="31">
        <v>547.08000000000004</v>
      </c>
      <c r="U22" s="52">
        <v>400.24</v>
      </c>
      <c r="V22" s="52">
        <v>150.02000000000001</v>
      </c>
      <c r="W22" s="52">
        <v>306.99</v>
      </c>
      <c r="X22" s="52">
        <v>417.62</v>
      </c>
      <c r="Y22" s="71">
        <v>6</v>
      </c>
      <c r="Z22" s="29" t="s">
        <v>42</v>
      </c>
      <c r="AA22" s="45">
        <f>SUM(AB22:AJ22)</f>
        <v>2025.89</v>
      </c>
      <c r="AB22" s="31">
        <v>0</v>
      </c>
      <c r="AC22" s="31">
        <v>164.13</v>
      </c>
      <c r="AD22" s="31">
        <v>351.97</v>
      </c>
      <c r="AE22" s="31">
        <v>235.45</v>
      </c>
      <c r="AF22" s="31">
        <v>382.37</v>
      </c>
      <c r="AG22" s="31">
        <v>280.02999999999997</v>
      </c>
      <c r="AH22" s="31">
        <v>104.96</v>
      </c>
      <c r="AI22" s="31">
        <v>214.79</v>
      </c>
      <c r="AJ22" s="31">
        <v>292.19</v>
      </c>
      <c r="AK22" s="71">
        <v>6</v>
      </c>
      <c r="AL22" s="29" t="s">
        <v>42</v>
      </c>
      <c r="AM22" s="45">
        <f>SUM(AN22:AV22)</f>
        <v>4447</v>
      </c>
      <c r="AN22" s="31">
        <v>0</v>
      </c>
      <c r="AO22" s="31">
        <v>360</v>
      </c>
      <c r="AP22" s="31">
        <v>773</v>
      </c>
      <c r="AQ22" s="31">
        <v>517</v>
      </c>
      <c r="AR22" s="31">
        <v>840</v>
      </c>
      <c r="AS22" s="31">
        <v>615</v>
      </c>
      <c r="AT22" s="31">
        <v>230</v>
      </c>
      <c r="AU22" s="31">
        <v>471</v>
      </c>
      <c r="AV22" s="31">
        <v>641</v>
      </c>
      <c r="AW22" s="71">
        <v>6</v>
      </c>
      <c r="AX22" s="29" t="s">
        <v>42</v>
      </c>
      <c r="AY22" s="45">
        <f>SUM(AZ22:BH22)</f>
        <v>2177</v>
      </c>
      <c r="AZ22" s="31">
        <v>0</v>
      </c>
      <c r="BA22" s="31">
        <v>176</v>
      </c>
      <c r="BB22" s="31">
        <v>378</v>
      </c>
      <c r="BC22" s="31">
        <v>253</v>
      </c>
      <c r="BD22" s="31">
        <v>411</v>
      </c>
      <c r="BE22" s="31">
        <v>301</v>
      </c>
      <c r="BF22" s="31">
        <v>113</v>
      </c>
      <c r="BG22" s="31">
        <v>231</v>
      </c>
      <c r="BH22" s="31">
        <v>314</v>
      </c>
      <c r="BI22" s="71">
        <v>6</v>
      </c>
      <c r="BJ22" s="29" t="s">
        <v>42</v>
      </c>
      <c r="BK22" s="45">
        <f>SUM(BL22:BT22)</f>
        <v>3138.6599999999994</v>
      </c>
      <c r="BL22" s="31">
        <v>0</v>
      </c>
      <c r="BM22" s="31">
        <v>254.23</v>
      </c>
      <c r="BN22" s="31">
        <v>545.19000000000005</v>
      </c>
      <c r="BO22" s="31">
        <v>364.71</v>
      </c>
      <c r="BP22" s="31">
        <v>592.89</v>
      </c>
      <c r="BQ22" s="31">
        <v>433.76</v>
      </c>
      <c r="BR22" s="31">
        <v>162.58000000000001</v>
      </c>
      <c r="BS22" s="31">
        <v>332.7</v>
      </c>
      <c r="BT22" s="31">
        <v>452.6</v>
      </c>
      <c r="BU22" s="71">
        <v>6</v>
      </c>
      <c r="BV22" s="29" t="s">
        <v>42</v>
      </c>
      <c r="BW22" s="45">
        <f>SUM(BX22:CF22)</f>
        <v>2984.45</v>
      </c>
      <c r="BX22" s="31">
        <v>0</v>
      </c>
      <c r="BY22" s="31">
        <v>241.74</v>
      </c>
      <c r="BZ22" s="31">
        <v>518.4</v>
      </c>
      <c r="CA22" s="31">
        <v>346.79</v>
      </c>
      <c r="CB22" s="31">
        <v>563.76</v>
      </c>
      <c r="CC22" s="31">
        <v>412.45</v>
      </c>
      <c r="CD22" s="31">
        <v>154.6</v>
      </c>
      <c r="CE22" s="31">
        <v>316.35000000000002</v>
      </c>
      <c r="CF22" s="31">
        <v>430.36</v>
      </c>
      <c r="CG22" s="71">
        <v>6</v>
      </c>
      <c r="CH22" s="29" t="s">
        <v>42</v>
      </c>
      <c r="CI22" s="45">
        <f>SUM(CJ22:CR22)</f>
        <v>3187.94</v>
      </c>
      <c r="CJ22" s="31">
        <v>0</v>
      </c>
      <c r="CK22" s="31">
        <v>258.22000000000003</v>
      </c>
      <c r="CL22" s="31">
        <v>553.75</v>
      </c>
      <c r="CM22" s="31">
        <v>370.44</v>
      </c>
      <c r="CN22" s="31">
        <v>602.20000000000005</v>
      </c>
      <c r="CO22" s="31">
        <v>440.57</v>
      </c>
      <c r="CP22" s="31">
        <v>165.14</v>
      </c>
      <c r="CQ22" s="31">
        <v>337.92</v>
      </c>
      <c r="CR22" s="31">
        <v>459.7</v>
      </c>
      <c r="CS22" s="71">
        <v>6</v>
      </c>
      <c r="CT22" s="29" t="s">
        <v>42</v>
      </c>
      <c r="CU22" s="45">
        <f>SUM(CV22:DD22)</f>
        <v>4379.7</v>
      </c>
      <c r="CV22" s="31">
        <v>0</v>
      </c>
      <c r="CW22" s="31">
        <v>354.76</v>
      </c>
      <c r="CX22" s="31">
        <v>760.75</v>
      </c>
      <c r="CY22" s="31">
        <v>508.92</v>
      </c>
      <c r="CZ22" s="31">
        <v>827.33</v>
      </c>
      <c r="DA22" s="31">
        <v>605.27</v>
      </c>
      <c r="DB22" s="31">
        <v>226.87</v>
      </c>
      <c r="DC22" s="31">
        <v>464.25</v>
      </c>
      <c r="DD22" s="31">
        <v>631.54999999999995</v>
      </c>
    </row>
    <row r="23" spans="1:108" s="38" customFormat="1" ht="24" customHeight="1">
      <c r="A23" s="68">
        <v>7</v>
      </c>
      <c r="B23" s="29" t="s">
        <v>43</v>
      </c>
      <c r="C23" s="45">
        <f t="shared" si="17"/>
        <v>24569.62</v>
      </c>
      <c r="D23" s="31"/>
      <c r="E23" s="31">
        <f>Q23+AC23+AO23+BA23+BM23+BY23+CK23+CW23</f>
        <v>1045.8699999999999</v>
      </c>
      <c r="F23" s="31">
        <f t="shared" si="18"/>
        <v>2242.81</v>
      </c>
      <c r="G23" s="31">
        <f t="shared" si="18"/>
        <v>1500.37</v>
      </c>
      <c r="H23" s="31">
        <f t="shared" si="18"/>
        <v>5731.57</v>
      </c>
      <c r="I23" s="31">
        <f t="shared" si="18"/>
        <v>10149.58</v>
      </c>
      <c r="J23" s="31">
        <f t="shared" si="18"/>
        <v>668.84</v>
      </c>
      <c r="K23" s="31">
        <f t="shared" si="18"/>
        <v>1368.67</v>
      </c>
      <c r="L23" s="31">
        <f t="shared" si="20"/>
        <v>1861.91</v>
      </c>
      <c r="M23" s="70">
        <v>7</v>
      </c>
      <c r="N23" s="29" t="s">
        <v>43</v>
      </c>
      <c r="O23" s="45">
        <f t="shared" ref="O23:O31" si="49">Q23+R23+S23+T23+P23</f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52">
        <v>0</v>
      </c>
      <c r="V23" s="52">
        <v>0</v>
      </c>
      <c r="W23" s="52">
        <v>0</v>
      </c>
      <c r="X23" s="52">
        <v>0</v>
      </c>
      <c r="Y23" s="68">
        <v>7</v>
      </c>
      <c r="Z23" s="29" t="s">
        <v>43</v>
      </c>
      <c r="AA23" s="45">
        <f>SUM(AB23:AJ23)</f>
        <v>11657.63</v>
      </c>
      <c r="AB23" s="31">
        <v>0</v>
      </c>
      <c r="AC23" s="31">
        <v>0</v>
      </c>
      <c r="AD23" s="31">
        <v>0</v>
      </c>
      <c r="AE23" s="31">
        <v>0</v>
      </c>
      <c r="AF23" s="31">
        <v>3292.49</v>
      </c>
      <c r="AG23" s="31">
        <v>8365.14</v>
      </c>
      <c r="AH23" s="31">
        <v>0</v>
      </c>
      <c r="AI23" s="31">
        <v>0</v>
      </c>
      <c r="AJ23" s="31">
        <v>0</v>
      </c>
      <c r="AK23" s="68">
        <v>7</v>
      </c>
      <c r="AL23" s="29" t="s">
        <v>43</v>
      </c>
      <c r="AM23" s="45">
        <f>SUM(AN23:AV23)</f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68">
        <v>7</v>
      </c>
      <c r="AX23" s="29" t="s">
        <v>43</v>
      </c>
      <c r="AY23" s="45">
        <f>SUM(AZ23:BH23)</f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0</v>
      </c>
      <c r="BI23" s="68">
        <v>7</v>
      </c>
      <c r="BJ23" s="29" t="s">
        <v>43</v>
      </c>
      <c r="BK23" s="45">
        <f>SUM(BL23:BT23)</f>
        <v>0</v>
      </c>
      <c r="BL23" s="31">
        <v>0</v>
      </c>
      <c r="BM23" s="31">
        <v>0</v>
      </c>
      <c r="BN23" s="31">
        <v>0</v>
      </c>
      <c r="BO23" s="31">
        <v>0</v>
      </c>
      <c r="BP23" s="31">
        <v>0</v>
      </c>
      <c r="BQ23" s="31">
        <v>0</v>
      </c>
      <c r="BR23" s="31">
        <v>0</v>
      </c>
      <c r="BS23" s="31">
        <v>0</v>
      </c>
      <c r="BT23" s="31">
        <v>0</v>
      </c>
      <c r="BU23" s="68">
        <v>7</v>
      </c>
      <c r="BV23" s="29" t="s">
        <v>43</v>
      </c>
      <c r="BW23" s="45">
        <f>SUM(BX23:CF23)</f>
        <v>0</v>
      </c>
      <c r="BX23" s="31">
        <v>0</v>
      </c>
      <c r="BY23" s="31">
        <v>0</v>
      </c>
      <c r="BZ23" s="31">
        <v>0</v>
      </c>
      <c r="CA23" s="31">
        <v>0</v>
      </c>
      <c r="CB23" s="31">
        <v>0</v>
      </c>
      <c r="CC23" s="31">
        <v>0</v>
      </c>
      <c r="CD23" s="31">
        <v>0</v>
      </c>
      <c r="CE23" s="31">
        <v>0</v>
      </c>
      <c r="CF23" s="31">
        <v>0</v>
      </c>
      <c r="CG23" s="68">
        <v>7</v>
      </c>
      <c r="CH23" s="29" t="s">
        <v>43</v>
      </c>
      <c r="CI23" s="45">
        <f>SUM(CJ23:CR23)</f>
        <v>12911.99</v>
      </c>
      <c r="CJ23" s="31">
        <v>0</v>
      </c>
      <c r="CK23" s="31">
        <v>1045.8699999999999</v>
      </c>
      <c r="CL23" s="31">
        <v>2242.81</v>
      </c>
      <c r="CM23" s="31">
        <v>1500.37</v>
      </c>
      <c r="CN23" s="31">
        <v>2439.08</v>
      </c>
      <c r="CO23" s="31">
        <v>1784.44</v>
      </c>
      <c r="CP23" s="31">
        <v>668.84</v>
      </c>
      <c r="CQ23" s="31">
        <v>1368.67</v>
      </c>
      <c r="CR23" s="31">
        <v>1861.91</v>
      </c>
      <c r="CS23" s="68">
        <v>7</v>
      </c>
      <c r="CT23" s="29" t="s">
        <v>43</v>
      </c>
      <c r="CU23" s="45">
        <f>SUM(CV23:DD23)</f>
        <v>0</v>
      </c>
      <c r="CV23" s="31">
        <v>0</v>
      </c>
      <c r="CW23" s="31">
        <v>0</v>
      </c>
      <c r="CX23" s="31">
        <v>0</v>
      </c>
      <c r="CY23" s="31">
        <v>0</v>
      </c>
      <c r="CZ23" s="31">
        <v>0</v>
      </c>
      <c r="DA23" s="31">
        <v>0</v>
      </c>
      <c r="DB23" s="31">
        <v>0</v>
      </c>
      <c r="DC23" s="31">
        <v>0</v>
      </c>
      <c r="DD23" s="31">
        <v>0</v>
      </c>
    </row>
    <row r="24" spans="1:108" s="38" customFormat="1" ht="12">
      <c r="A24" s="71">
        <v>8</v>
      </c>
      <c r="B24" s="29" t="s">
        <v>44</v>
      </c>
      <c r="C24" s="45">
        <f t="shared" si="17"/>
        <v>7200</v>
      </c>
      <c r="D24" s="31"/>
      <c r="E24" s="31">
        <f>Q24+AC24+AO24+BA24+BM24+BY24+CK24+CW24</f>
        <v>583.20000000000005</v>
      </c>
      <c r="F24" s="31">
        <f t="shared" si="18"/>
        <v>1250.6400000000001</v>
      </c>
      <c r="G24" s="31">
        <f t="shared" si="18"/>
        <v>836.64</v>
      </c>
      <c r="H24" s="31">
        <f t="shared" si="18"/>
        <v>1360.08</v>
      </c>
      <c r="I24" s="31">
        <f t="shared" si="18"/>
        <v>995.04</v>
      </c>
      <c r="J24" s="31">
        <f t="shared" si="18"/>
        <v>372.96</v>
      </c>
      <c r="K24" s="31">
        <f t="shared" si="18"/>
        <v>763.2</v>
      </c>
      <c r="L24" s="31">
        <f t="shared" si="20"/>
        <v>1038.24</v>
      </c>
      <c r="M24" s="72">
        <v>8</v>
      </c>
      <c r="N24" s="29" t="s">
        <v>44</v>
      </c>
      <c r="O24" s="45">
        <f t="shared" si="49"/>
        <v>0</v>
      </c>
      <c r="P24" s="31">
        <f>P18*14.9/100</f>
        <v>0</v>
      </c>
      <c r="Q24" s="31">
        <v>0</v>
      </c>
      <c r="R24" s="31">
        <f t="shared" ref="R24:T25" si="50">8500*R7/46411</f>
        <v>0</v>
      </c>
      <c r="S24" s="31">
        <f t="shared" si="50"/>
        <v>0</v>
      </c>
      <c r="T24" s="31">
        <f t="shared" si="50"/>
        <v>0</v>
      </c>
      <c r="U24" s="52">
        <v>0</v>
      </c>
      <c r="V24" s="52">
        <v>0</v>
      </c>
      <c r="W24" s="52">
        <v>0</v>
      </c>
      <c r="X24" s="52">
        <v>0</v>
      </c>
      <c r="Y24" s="71">
        <v>8</v>
      </c>
      <c r="Z24" s="29" t="s">
        <v>44</v>
      </c>
      <c r="AA24" s="45">
        <f>SUM(AB24:AJ24)</f>
        <v>7200</v>
      </c>
      <c r="AB24" s="31">
        <v>0</v>
      </c>
      <c r="AC24" s="31">
        <v>583.20000000000005</v>
      </c>
      <c r="AD24" s="31">
        <v>1250.6400000000001</v>
      </c>
      <c r="AE24" s="31">
        <v>836.64</v>
      </c>
      <c r="AF24" s="31">
        <v>1360.08</v>
      </c>
      <c r="AG24" s="31">
        <v>995.04</v>
      </c>
      <c r="AH24" s="31">
        <v>372.96</v>
      </c>
      <c r="AI24" s="31">
        <v>763.2</v>
      </c>
      <c r="AJ24" s="31">
        <v>1038.24</v>
      </c>
      <c r="AK24" s="71">
        <v>8</v>
      </c>
      <c r="AL24" s="29" t="s">
        <v>44</v>
      </c>
      <c r="AM24" s="45">
        <f>SUM(AN24:AV24)</f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71">
        <v>8</v>
      </c>
      <c r="AX24" s="29" t="s">
        <v>44</v>
      </c>
      <c r="AY24" s="45">
        <f>SUM(AZ24:BH24)</f>
        <v>0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71">
        <v>8</v>
      </c>
      <c r="BJ24" s="29" t="s">
        <v>44</v>
      </c>
      <c r="BK24" s="45">
        <f>SUM(BL24:BT24)</f>
        <v>0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</v>
      </c>
      <c r="BT24" s="31">
        <v>0</v>
      </c>
      <c r="BU24" s="71">
        <v>8</v>
      </c>
      <c r="BV24" s="29" t="s">
        <v>44</v>
      </c>
      <c r="BW24" s="45">
        <f>SUM(BX24:CF24)</f>
        <v>0</v>
      </c>
      <c r="BX24" s="31">
        <v>0</v>
      </c>
      <c r="BY24" s="31">
        <v>0</v>
      </c>
      <c r="BZ24" s="31">
        <v>0</v>
      </c>
      <c r="CA24" s="31">
        <v>0</v>
      </c>
      <c r="CB24" s="31">
        <v>0</v>
      </c>
      <c r="CC24" s="31">
        <v>0</v>
      </c>
      <c r="CD24" s="31">
        <v>0</v>
      </c>
      <c r="CE24" s="31">
        <v>0</v>
      </c>
      <c r="CF24" s="31">
        <v>0</v>
      </c>
      <c r="CG24" s="71">
        <v>8</v>
      </c>
      <c r="CH24" s="29" t="s">
        <v>44</v>
      </c>
      <c r="CI24" s="45">
        <f>SUM(CJ24:CR24)</f>
        <v>0</v>
      </c>
      <c r="CJ24" s="31">
        <v>0</v>
      </c>
      <c r="CK24" s="31">
        <v>0</v>
      </c>
      <c r="CL24" s="31">
        <v>0</v>
      </c>
      <c r="CM24" s="31">
        <v>0</v>
      </c>
      <c r="CN24" s="31">
        <v>0</v>
      </c>
      <c r="CO24" s="31">
        <v>0</v>
      </c>
      <c r="CP24" s="31">
        <v>0</v>
      </c>
      <c r="CQ24" s="31">
        <v>0</v>
      </c>
      <c r="CR24" s="31">
        <v>0</v>
      </c>
      <c r="CS24" s="71">
        <v>8</v>
      </c>
      <c r="CT24" s="29" t="s">
        <v>44</v>
      </c>
      <c r="CU24" s="45">
        <f>SUM(CV24:DD24)</f>
        <v>0</v>
      </c>
      <c r="CV24" s="31">
        <v>0</v>
      </c>
      <c r="CW24" s="31">
        <v>0</v>
      </c>
      <c r="CX24" s="31">
        <v>0</v>
      </c>
      <c r="CY24" s="31">
        <v>0</v>
      </c>
      <c r="CZ24" s="31">
        <v>0</v>
      </c>
      <c r="DA24" s="31">
        <v>0</v>
      </c>
      <c r="DB24" s="31">
        <v>0</v>
      </c>
      <c r="DC24" s="31">
        <v>0</v>
      </c>
      <c r="DD24" s="31">
        <v>0</v>
      </c>
    </row>
    <row r="25" spans="1:108" s="38" customFormat="1" ht="12">
      <c r="A25" s="71">
        <v>9</v>
      </c>
      <c r="B25" s="29" t="s">
        <v>45</v>
      </c>
      <c r="C25" s="45">
        <f t="shared" ref="C25" si="51">SUM(D25:L25)</f>
        <v>0</v>
      </c>
      <c r="D25" s="31"/>
      <c r="E25" s="31">
        <f>Q25+AC25+AO25+BA25+BM25+BY25+CK25+CW25</f>
        <v>0</v>
      </c>
      <c r="F25" s="31">
        <f t="shared" si="18"/>
        <v>0</v>
      </c>
      <c r="G25" s="31">
        <f t="shared" si="18"/>
        <v>0</v>
      </c>
      <c r="H25" s="31">
        <f t="shared" si="18"/>
        <v>0</v>
      </c>
      <c r="I25" s="31">
        <f t="shared" si="18"/>
        <v>0</v>
      </c>
      <c r="J25" s="31">
        <f t="shared" si="18"/>
        <v>0</v>
      </c>
      <c r="K25" s="31">
        <f t="shared" si="18"/>
        <v>0</v>
      </c>
      <c r="L25" s="31">
        <f t="shared" si="20"/>
        <v>0</v>
      </c>
      <c r="M25" s="72">
        <v>9</v>
      </c>
      <c r="N25" s="29" t="s">
        <v>45</v>
      </c>
      <c r="O25" s="45">
        <f t="shared" si="49"/>
        <v>0</v>
      </c>
      <c r="P25" s="31">
        <f>P20*14.9/100</f>
        <v>0</v>
      </c>
      <c r="Q25" s="31">
        <v>0</v>
      </c>
      <c r="R25" s="31">
        <f t="shared" si="50"/>
        <v>0</v>
      </c>
      <c r="S25" s="31">
        <f t="shared" si="50"/>
        <v>0</v>
      </c>
      <c r="T25" s="31">
        <f t="shared" si="50"/>
        <v>0</v>
      </c>
      <c r="U25" s="52">
        <v>0</v>
      </c>
      <c r="V25" s="52">
        <v>0</v>
      </c>
      <c r="W25" s="52">
        <v>0</v>
      </c>
      <c r="X25" s="52">
        <v>0</v>
      </c>
      <c r="Y25" s="71">
        <v>9</v>
      </c>
      <c r="Z25" s="29" t="s">
        <v>45</v>
      </c>
      <c r="AA25" s="45">
        <f t="shared" ref="AA25:AA31" si="52">AC25+AD25+AE25+AJ25+AB25</f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71">
        <v>9</v>
      </c>
      <c r="AL25" s="29" t="s">
        <v>45</v>
      </c>
      <c r="AM25" s="45">
        <f t="shared" ref="AM25" si="53">AO25+AP25+AQ25+AV25+AN25</f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31">
        <v>0</v>
      </c>
      <c r="AW25" s="71">
        <v>9</v>
      </c>
      <c r="AX25" s="29" t="s">
        <v>45</v>
      </c>
      <c r="AY25" s="45">
        <f t="shared" ref="AY25" si="54">BA25+BB25+BC25+BH25+AZ25</f>
        <v>0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  <c r="BE25" s="31">
        <v>0</v>
      </c>
      <c r="BF25" s="31">
        <v>0</v>
      </c>
      <c r="BG25" s="31">
        <v>0</v>
      </c>
      <c r="BH25" s="31">
        <v>0</v>
      </c>
      <c r="BI25" s="71">
        <v>9</v>
      </c>
      <c r="BJ25" s="29" t="s">
        <v>45</v>
      </c>
      <c r="BK25" s="45">
        <f t="shared" ref="BK25" si="55">BM25+BN25+BO25+BT25+BL25</f>
        <v>0</v>
      </c>
      <c r="BL25" s="31">
        <v>0</v>
      </c>
      <c r="BM25" s="31">
        <v>0</v>
      </c>
      <c r="BN25" s="31">
        <v>0</v>
      </c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31">
        <v>0</v>
      </c>
      <c r="BU25" s="71">
        <v>9</v>
      </c>
      <c r="BV25" s="29" t="s">
        <v>45</v>
      </c>
      <c r="BW25" s="45">
        <f t="shared" ref="BW25" si="56">BY25+BZ25+CA25+CF25+BX25</f>
        <v>0</v>
      </c>
      <c r="BX25" s="31">
        <v>0</v>
      </c>
      <c r="BY25" s="31">
        <v>0</v>
      </c>
      <c r="BZ25" s="31">
        <v>0</v>
      </c>
      <c r="CA25" s="31">
        <v>0</v>
      </c>
      <c r="CB25" s="31">
        <v>0</v>
      </c>
      <c r="CC25" s="31">
        <v>0</v>
      </c>
      <c r="CD25" s="31">
        <v>0</v>
      </c>
      <c r="CE25" s="31">
        <v>0</v>
      </c>
      <c r="CF25" s="31">
        <v>0</v>
      </c>
      <c r="CG25" s="71">
        <v>9</v>
      </c>
      <c r="CH25" s="29" t="s">
        <v>45</v>
      </c>
      <c r="CI25" s="45">
        <f t="shared" ref="CI25" si="57">CK25+CL25+CM25+CR25+CJ25</f>
        <v>0</v>
      </c>
      <c r="CJ25" s="31">
        <v>0</v>
      </c>
      <c r="CK25" s="31">
        <v>0</v>
      </c>
      <c r="CL25" s="31">
        <v>0</v>
      </c>
      <c r="CM25" s="31">
        <v>0</v>
      </c>
      <c r="CN25" s="31">
        <v>0</v>
      </c>
      <c r="CO25" s="31">
        <v>0</v>
      </c>
      <c r="CP25" s="31">
        <v>0</v>
      </c>
      <c r="CQ25" s="31">
        <v>0</v>
      </c>
      <c r="CR25" s="31">
        <v>0</v>
      </c>
      <c r="CS25" s="71">
        <v>9</v>
      </c>
      <c r="CT25" s="29" t="s">
        <v>45</v>
      </c>
      <c r="CU25" s="45">
        <f t="shared" ref="CU25" si="58">CW25+CX25+CY25+DD25+CV25</f>
        <v>0</v>
      </c>
      <c r="CV25" s="31">
        <v>0</v>
      </c>
      <c r="CW25" s="31">
        <v>0</v>
      </c>
      <c r="CX25" s="31">
        <v>0</v>
      </c>
      <c r="CY25" s="31">
        <v>0</v>
      </c>
      <c r="CZ25" s="31">
        <v>0</v>
      </c>
      <c r="DA25" s="31">
        <v>0</v>
      </c>
      <c r="DB25" s="31">
        <v>0</v>
      </c>
      <c r="DC25" s="31">
        <v>0</v>
      </c>
      <c r="DD25" s="31">
        <v>0</v>
      </c>
    </row>
    <row r="26" spans="1:108" s="38" customFormat="1" ht="12">
      <c r="A26" s="71">
        <v>10</v>
      </c>
      <c r="B26" s="29" t="s">
        <v>46</v>
      </c>
      <c r="C26" s="45">
        <f>SUM(D26:L26)</f>
        <v>174240.06</v>
      </c>
      <c r="D26" s="31"/>
      <c r="E26" s="31">
        <f>Q26+AC26+AO26+BA26+BM26+BY26+CK26+CW26</f>
        <v>14113.45</v>
      </c>
      <c r="F26" s="31">
        <f t="shared" si="18"/>
        <v>30266.17</v>
      </c>
      <c r="G26" s="31">
        <f t="shared" si="18"/>
        <v>20246.129999999997</v>
      </c>
      <c r="H26" s="31">
        <f t="shared" si="18"/>
        <v>32913.700000000004</v>
      </c>
      <c r="I26" s="31">
        <f t="shared" si="18"/>
        <v>24079.449999999997</v>
      </c>
      <c r="J26" s="31">
        <f t="shared" si="18"/>
        <v>9025.51</v>
      </c>
      <c r="K26" s="31">
        <f t="shared" si="18"/>
        <v>18469.759999999998</v>
      </c>
      <c r="L26" s="31">
        <f t="shared" si="20"/>
        <v>25125.89</v>
      </c>
      <c r="M26" s="72">
        <v>10</v>
      </c>
      <c r="N26" s="29" t="s">
        <v>46</v>
      </c>
      <c r="O26" s="45">
        <f>SUM(Q26:X26)</f>
        <v>23386.28</v>
      </c>
      <c r="P26" s="31">
        <v>0</v>
      </c>
      <c r="Q26" s="31">
        <f>313.38+1580.91</f>
        <v>1894.29</v>
      </c>
      <c r="R26" s="31">
        <f>672.03+3390.17</f>
        <v>4062.2</v>
      </c>
      <c r="S26" s="31">
        <f>449.57+2267.92</f>
        <v>2717.4900000000002</v>
      </c>
      <c r="T26" s="31">
        <f>730.84+3686.83</f>
        <v>4417.67</v>
      </c>
      <c r="U26" s="52">
        <f>534.68+2697.3</f>
        <v>3231.98</v>
      </c>
      <c r="V26" s="52">
        <f>200.41+1011</f>
        <v>1211.4100000000001</v>
      </c>
      <c r="W26" s="52">
        <f>410.1+2068.84</f>
        <v>2478.94</v>
      </c>
      <c r="X26" s="52">
        <f>557.9+2814.4</f>
        <v>3372.3</v>
      </c>
      <c r="Y26" s="71">
        <v>10</v>
      </c>
      <c r="Z26" s="29" t="s">
        <v>46</v>
      </c>
      <c r="AA26" s="45">
        <f>SUM(AB26:AJ26)</f>
        <v>23674.58</v>
      </c>
      <c r="AB26" s="31">
        <v>0</v>
      </c>
      <c r="AC26" s="31">
        <f>259.11+1658.48</f>
        <v>1917.5900000000001</v>
      </c>
      <c r="AD26" s="31">
        <f>556+3556.52</f>
        <v>4112.5200000000004</v>
      </c>
      <c r="AE26" s="31">
        <f>372+2379.2</f>
        <v>2751.2</v>
      </c>
      <c r="AF26" s="31">
        <f>604.26+3867.74</f>
        <v>4472</v>
      </c>
      <c r="AG26" s="31">
        <f>442.08+2829.66</f>
        <v>3271.74</v>
      </c>
      <c r="AH26" s="31">
        <f>165.7+1060.61</f>
        <v>1226.31</v>
      </c>
      <c r="AI26" s="31">
        <f>339.08+2170.36</f>
        <v>2509.44</v>
      </c>
      <c r="AJ26" s="31">
        <f>461.27+2952.51</f>
        <v>3413.78</v>
      </c>
      <c r="AK26" s="71">
        <v>10</v>
      </c>
      <c r="AL26" s="29" t="s">
        <v>46</v>
      </c>
      <c r="AM26" s="45">
        <f>SUM(AN26:AV26)</f>
        <v>28416.440000000002</v>
      </c>
      <c r="AN26" s="31">
        <v>0</v>
      </c>
      <c r="AO26" s="31">
        <f>345+1956.43</f>
        <v>2301.4300000000003</v>
      </c>
      <c r="AP26" s="31">
        <f>741+4195.45</f>
        <v>4936.45</v>
      </c>
      <c r="AQ26" s="31">
        <f>495+2806.63</f>
        <v>3301.63</v>
      </c>
      <c r="AR26" s="31">
        <f>805+4562.58</f>
        <v>5367.58</v>
      </c>
      <c r="AS26" s="31">
        <f>589+3338.01</f>
        <v>3927.01</v>
      </c>
      <c r="AT26" s="31">
        <f>221+1251.15</f>
        <v>1472.15</v>
      </c>
      <c r="AU26" s="31">
        <f>452+2560.26</f>
        <v>3012.26</v>
      </c>
      <c r="AV26" s="31">
        <f>615+3482.93</f>
        <v>4097.93</v>
      </c>
      <c r="AW26" s="71">
        <v>10</v>
      </c>
      <c r="AX26" s="29" t="s">
        <v>46</v>
      </c>
      <c r="AY26" s="45">
        <f>SUM(AZ26:BH26)</f>
        <v>22486.209999999995</v>
      </c>
      <c r="AZ26" s="31">
        <v>0</v>
      </c>
      <c r="BA26" s="31">
        <f>276+1545.74</f>
        <v>1821.74</v>
      </c>
      <c r="BB26" s="31">
        <f>591+3314.75</f>
        <v>3905.75</v>
      </c>
      <c r="BC26" s="31">
        <f>395+2217.47</f>
        <v>2612.4699999999998</v>
      </c>
      <c r="BD26" s="31">
        <f>643+3604.82</f>
        <v>4247.82</v>
      </c>
      <c r="BE26" s="31">
        <f>470+2637.3</f>
        <v>3107.3</v>
      </c>
      <c r="BF26" s="31">
        <f>176+988.51</f>
        <v>1164.51</v>
      </c>
      <c r="BG26" s="31">
        <f>361+2022.82</f>
        <v>2383.8199999999997</v>
      </c>
      <c r="BH26" s="31">
        <f>491+2751.8</f>
        <v>3242.8</v>
      </c>
      <c r="BI26" s="71">
        <v>10</v>
      </c>
      <c r="BJ26" s="29" t="s">
        <v>46</v>
      </c>
      <c r="BK26" s="45">
        <f>SUM(BL26:BT26)</f>
        <v>23526.85</v>
      </c>
      <c r="BL26" s="31">
        <v>0</v>
      </c>
      <c r="BM26" s="31">
        <f>280.28+1625.4</f>
        <v>1905.68</v>
      </c>
      <c r="BN26" s="31">
        <f>601.04+3485.58</f>
        <v>4086.62</v>
      </c>
      <c r="BO26" s="31">
        <f>402.08+2331.74</f>
        <v>2733.8199999999997</v>
      </c>
      <c r="BP26" s="31">
        <f>653.63+3790.59</f>
        <v>4444.22</v>
      </c>
      <c r="BQ26" s="31">
        <f>478.2+2773.21</f>
        <v>3251.41</v>
      </c>
      <c r="BR26" s="31">
        <f>179.24+1039.45</f>
        <v>1218.69</v>
      </c>
      <c r="BS26" s="31">
        <f>366.78+2127.06</f>
        <v>2493.84</v>
      </c>
      <c r="BT26" s="31">
        <f>498.96+2893.61</f>
        <v>3392.57</v>
      </c>
      <c r="BU26" s="71">
        <v>10</v>
      </c>
      <c r="BV26" s="29" t="s">
        <v>46</v>
      </c>
      <c r="BW26" s="45">
        <f>SUM(BX26:CF26)</f>
        <v>18430.609999999997</v>
      </c>
      <c r="BX26" s="31">
        <v>0</v>
      </c>
      <c r="BY26" s="31">
        <v>1492.88</v>
      </c>
      <c r="BZ26" s="31">
        <v>3201.4</v>
      </c>
      <c r="CA26" s="31">
        <v>2141.64</v>
      </c>
      <c r="CB26" s="31">
        <v>3481.54</v>
      </c>
      <c r="CC26" s="31">
        <v>2547.11</v>
      </c>
      <c r="CD26" s="31">
        <v>954.71</v>
      </c>
      <c r="CE26" s="31">
        <v>1953.64</v>
      </c>
      <c r="CF26" s="31">
        <v>2657.69</v>
      </c>
      <c r="CG26" s="71">
        <v>10</v>
      </c>
      <c r="CH26" s="29" t="s">
        <v>46</v>
      </c>
      <c r="CI26" s="45">
        <f>SUM(CJ26:CR26)</f>
        <v>17986.46</v>
      </c>
      <c r="CJ26" s="31">
        <v>0</v>
      </c>
      <c r="CK26" s="31">
        <v>1456.9</v>
      </c>
      <c r="CL26" s="31">
        <v>3124.25</v>
      </c>
      <c r="CM26" s="31">
        <v>2090.0300000000002</v>
      </c>
      <c r="CN26" s="31">
        <v>3397.64</v>
      </c>
      <c r="CO26" s="31">
        <v>2485.73</v>
      </c>
      <c r="CP26" s="31">
        <v>931.7</v>
      </c>
      <c r="CQ26" s="31">
        <v>1906.56</v>
      </c>
      <c r="CR26" s="31">
        <v>2593.65</v>
      </c>
      <c r="CS26" s="71">
        <v>10</v>
      </c>
      <c r="CT26" s="29" t="s">
        <v>46</v>
      </c>
      <c r="CU26" s="45">
        <f>SUM(CV26:DD26)</f>
        <v>16332.630000000001</v>
      </c>
      <c r="CV26" s="31">
        <v>0</v>
      </c>
      <c r="CW26" s="31">
        <v>1322.94</v>
      </c>
      <c r="CX26" s="31">
        <v>2836.98</v>
      </c>
      <c r="CY26" s="31">
        <v>1897.85</v>
      </c>
      <c r="CZ26" s="31">
        <v>3085.23</v>
      </c>
      <c r="DA26" s="31">
        <v>2257.17</v>
      </c>
      <c r="DB26" s="31">
        <v>846.03</v>
      </c>
      <c r="DC26" s="31">
        <v>1731.26</v>
      </c>
      <c r="DD26" s="31">
        <v>2355.17</v>
      </c>
    </row>
    <row r="27" spans="1:108" s="38" customFormat="1" ht="12">
      <c r="A27" s="71">
        <v>11</v>
      </c>
      <c r="B27" s="29" t="s">
        <v>47</v>
      </c>
      <c r="C27" s="45">
        <f>E27+F27+G27+H27+D27</f>
        <v>0</v>
      </c>
      <c r="D27" s="31"/>
      <c r="E27" s="31">
        <v>0</v>
      </c>
      <c r="F27" s="31">
        <v>0</v>
      </c>
      <c r="G27" s="31">
        <v>0</v>
      </c>
      <c r="H27" s="32">
        <v>0</v>
      </c>
      <c r="I27" s="31">
        <v>0</v>
      </c>
      <c r="J27" s="31">
        <v>0</v>
      </c>
      <c r="K27" s="31">
        <v>0</v>
      </c>
      <c r="L27" s="31">
        <v>0</v>
      </c>
      <c r="M27" s="72">
        <v>11</v>
      </c>
      <c r="N27" s="29" t="s">
        <v>47</v>
      </c>
      <c r="O27" s="45">
        <f t="shared" si="49"/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52">
        <v>0</v>
      </c>
      <c r="V27" s="52">
        <v>0</v>
      </c>
      <c r="W27" s="52">
        <v>0</v>
      </c>
      <c r="X27" s="52">
        <v>0</v>
      </c>
      <c r="Y27" s="71">
        <v>11</v>
      </c>
      <c r="Z27" s="29" t="s">
        <v>47</v>
      </c>
      <c r="AA27" s="45">
        <f t="shared" si="52"/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71">
        <v>11</v>
      </c>
      <c r="AL27" s="29" t="s">
        <v>47</v>
      </c>
      <c r="AM27" s="45">
        <f t="shared" ref="AM27" si="59">AO27+AP27+AQ27+AV27+AN27</f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71">
        <v>11</v>
      </c>
      <c r="AX27" s="29" t="s">
        <v>47</v>
      </c>
      <c r="AY27" s="45">
        <f t="shared" ref="AY27" si="60">BA27+BB27+BC27+BH27+AZ27</f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71">
        <v>11</v>
      </c>
      <c r="BJ27" s="29" t="s">
        <v>47</v>
      </c>
      <c r="BK27" s="45">
        <f t="shared" ref="BK27" si="61">BM27+BN27+BO27+BT27+BL27</f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31">
        <v>0</v>
      </c>
      <c r="BU27" s="71">
        <v>11</v>
      </c>
      <c r="BV27" s="29" t="s">
        <v>47</v>
      </c>
      <c r="BW27" s="45">
        <f t="shared" ref="BW27" si="62">BY27+BZ27+CA27+CF27+BX27</f>
        <v>0</v>
      </c>
      <c r="BX27" s="31">
        <v>0</v>
      </c>
      <c r="BY27" s="31">
        <v>0</v>
      </c>
      <c r="BZ27" s="31">
        <v>0</v>
      </c>
      <c r="CA27" s="31">
        <v>0</v>
      </c>
      <c r="CB27" s="31">
        <v>0</v>
      </c>
      <c r="CC27" s="31">
        <v>0</v>
      </c>
      <c r="CD27" s="31">
        <v>0</v>
      </c>
      <c r="CE27" s="31">
        <v>0</v>
      </c>
      <c r="CF27" s="31">
        <v>0</v>
      </c>
      <c r="CG27" s="71">
        <v>11</v>
      </c>
      <c r="CH27" s="29" t="s">
        <v>47</v>
      </c>
      <c r="CI27" s="45">
        <f t="shared" ref="CI27" si="63">CK27+CL27+CM27+CR27+CJ27</f>
        <v>0</v>
      </c>
      <c r="CJ27" s="31">
        <v>0</v>
      </c>
      <c r="CK27" s="31">
        <v>0</v>
      </c>
      <c r="CL27" s="31">
        <v>0</v>
      </c>
      <c r="CM27" s="31">
        <v>0</v>
      </c>
      <c r="CN27" s="31">
        <v>0</v>
      </c>
      <c r="CO27" s="31">
        <v>0</v>
      </c>
      <c r="CP27" s="31">
        <v>0</v>
      </c>
      <c r="CQ27" s="31">
        <v>0</v>
      </c>
      <c r="CR27" s="31">
        <v>0</v>
      </c>
      <c r="CS27" s="71">
        <v>11</v>
      </c>
      <c r="CT27" s="29" t="s">
        <v>47</v>
      </c>
      <c r="CU27" s="45">
        <f t="shared" ref="CU27" si="64">CW27+CX27+CY27+DD27+CV27</f>
        <v>0</v>
      </c>
      <c r="CV27" s="31">
        <v>0</v>
      </c>
      <c r="CW27" s="31">
        <v>0</v>
      </c>
      <c r="CX27" s="31">
        <v>0</v>
      </c>
      <c r="CY27" s="31">
        <v>0</v>
      </c>
      <c r="CZ27" s="31">
        <v>0</v>
      </c>
      <c r="DA27" s="31">
        <v>0</v>
      </c>
      <c r="DB27" s="31">
        <v>0</v>
      </c>
      <c r="DC27" s="31">
        <v>0</v>
      </c>
      <c r="DD27" s="31">
        <v>0</v>
      </c>
    </row>
    <row r="28" spans="1:108" s="38" customFormat="1" ht="12">
      <c r="A28" s="71">
        <v>12</v>
      </c>
      <c r="B28" s="29" t="s">
        <v>48</v>
      </c>
      <c r="C28" s="45">
        <f>SUM(D28:L28)</f>
        <v>8797.5400000000009</v>
      </c>
      <c r="D28" s="31"/>
      <c r="E28" s="31">
        <f>Q28+AC28+AO28+BA28+BM28+BY28+CK28+CW28</f>
        <v>712.73</v>
      </c>
      <c r="F28" s="31">
        <f t="shared" ref="F28:L31" si="65">R28+AD28+AP28+BB28+BN28+BZ28+CL28+CX28</f>
        <v>1527.9099999999999</v>
      </c>
      <c r="G28" s="31">
        <f t="shared" si="65"/>
        <v>1021.8</v>
      </c>
      <c r="H28" s="31">
        <f t="shared" si="65"/>
        <v>1662.39</v>
      </c>
      <c r="I28" s="31">
        <f t="shared" si="65"/>
        <v>1215.71</v>
      </c>
      <c r="J28" s="31">
        <f t="shared" si="65"/>
        <v>455.46</v>
      </c>
      <c r="K28" s="31">
        <f t="shared" si="65"/>
        <v>933.04000000000008</v>
      </c>
      <c r="L28" s="31">
        <f t="shared" si="65"/>
        <v>1268.5</v>
      </c>
      <c r="M28" s="72">
        <v>12</v>
      </c>
      <c r="N28" s="29" t="s">
        <v>48</v>
      </c>
      <c r="O28" s="45">
        <f>SUM(Q28:X28)</f>
        <v>1339.05</v>
      </c>
      <c r="P28" s="31">
        <v>0</v>
      </c>
      <c r="Q28" s="31">
        <v>108.46</v>
      </c>
      <c r="R28" s="31">
        <v>232.58</v>
      </c>
      <c r="S28" s="31">
        <v>155.59</v>
      </c>
      <c r="T28" s="31">
        <v>253</v>
      </c>
      <c r="U28" s="52">
        <v>185.05</v>
      </c>
      <c r="V28" s="52">
        <v>69.36</v>
      </c>
      <c r="W28" s="52">
        <v>141.93</v>
      </c>
      <c r="X28" s="52">
        <v>193.08</v>
      </c>
      <c r="Y28" s="71">
        <v>12</v>
      </c>
      <c r="Z28" s="29" t="s">
        <v>48</v>
      </c>
      <c r="AA28" s="45">
        <f>SUM(AB28:AJ28)</f>
        <v>1936</v>
      </c>
      <c r="AB28" s="31">
        <v>0</v>
      </c>
      <c r="AC28" s="31">
        <v>156.82</v>
      </c>
      <c r="AD28" s="31">
        <v>336.28</v>
      </c>
      <c r="AE28" s="31">
        <v>224.96</v>
      </c>
      <c r="AF28" s="31">
        <v>365.71</v>
      </c>
      <c r="AG28" s="31">
        <v>267.56</v>
      </c>
      <c r="AH28" s="31">
        <v>100.28</v>
      </c>
      <c r="AI28" s="31">
        <v>205.22</v>
      </c>
      <c r="AJ28" s="31">
        <v>279.17</v>
      </c>
      <c r="AK28" s="71">
        <v>12</v>
      </c>
      <c r="AL28" s="29" t="s">
        <v>48</v>
      </c>
      <c r="AM28" s="45">
        <f>SUM(AN28:AV28)</f>
        <v>1026</v>
      </c>
      <c r="AN28" s="31">
        <v>0</v>
      </c>
      <c r="AO28" s="31">
        <v>83</v>
      </c>
      <c r="AP28" s="31">
        <v>178</v>
      </c>
      <c r="AQ28" s="31">
        <v>119</v>
      </c>
      <c r="AR28" s="31">
        <v>194</v>
      </c>
      <c r="AS28" s="31">
        <v>142</v>
      </c>
      <c r="AT28" s="31">
        <v>53</v>
      </c>
      <c r="AU28" s="31">
        <v>109</v>
      </c>
      <c r="AV28" s="31">
        <v>148</v>
      </c>
      <c r="AW28" s="71">
        <v>12</v>
      </c>
      <c r="AX28" s="29" t="s">
        <v>48</v>
      </c>
      <c r="AY28" s="45">
        <f>SUM(AZ28:BH28)</f>
        <v>639</v>
      </c>
      <c r="AZ28" s="31">
        <v>0</v>
      </c>
      <c r="BA28" s="31">
        <v>52</v>
      </c>
      <c r="BB28" s="31">
        <v>111</v>
      </c>
      <c r="BC28" s="31">
        <v>74</v>
      </c>
      <c r="BD28" s="31">
        <v>121</v>
      </c>
      <c r="BE28" s="31">
        <v>88</v>
      </c>
      <c r="BF28" s="31">
        <v>33</v>
      </c>
      <c r="BG28" s="31">
        <v>68</v>
      </c>
      <c r="BH28" s="31">
        <v>92</v>
      </c>
      <c r="BI28" s="71">
        <v>12</v>
      </c>
      <c r="BJ28" s="29" t="s">
        <v>48</v>
      </c>
      <c r="BK28" s="45">
        <f>SUM(BL28:BT28)</f>
        <v>813.9899999999999</v>
      </c>
      <c r="BL28" s="31">
        <v>0</v>
      </c>
      <c r="BM28" s="31">
        <v>65.930000000000007</v>
      </c>
      <c r="BN28" s="31">
        <v>141.38999999999999</v>
      </c>
      <c r="BO28" s="31">
        <v>94.59</v>
      </c>
      <c r="BP28" s="31">
        <v>153.76</v>
      </c>
      <c r="BQ28" s="31">
        <v>112.49</v>
      </c>
      <c r="BR28" s="31">
        <v>42.17</v>
      </c>
      <c r="BS28" s="31">
        <v>86.28</v>
      </c>
      <c r="BT28" s="31">
        <v>117.38</v>
      </c>
      <c r="BU28" s="71">
        <v>12</v>
      </c>
      <c r="BV28" s="29" t="s">
        <v>48</v>
      </c>
      <c r="BW28" s="45">
        <f>SUM(BX28:CF28)</f>
        <v>1269.5</v>
      </c>
      <c r="BX28" s="31">
        <v>0</v>
      </c>
      <c r="BY28" s="31">
        <v>102.83</v>
      </c>
      <c r="BZ28" s="31">
        <v>220.51</v>
      </c>
      <c r="CA28" s="31">
        <v>147.52000000000001</v>
      </c>
      <c r="CB28" s="31">
        <v>239.81</v>
      </c>
      <c r="CC28" s="31">
        <v>175.44</v>
      </c>
      <c r="CD28" s="31">
        <v>65.760000000000005</v>
      </c>
      <c r="CE28" s="31">
        <v>134.57</v>
      </c>
      <c r="CF28" s="31">
        <v>183.06</v>
      </c>
      <c r="CG28" s="71">
        <v>12</v>
      </c>
      <c r="CH28" s="29" t="s">
        <v>48</v>
      </c>
      <c r="CI28" s="45">
        <f>SUM(CJ28:CR28)</f>
        <v>823.99</v>
      </c>
      <c r="CJ28" s="31">
        <v>0</v>
      </c>
      <c r="CK28" s="31">
        <v>66.739999999999995</v>
      </c>
      <c r="CL28" s="31">
        <v>143.13</v>
      </c>
      <c r="CM28" s="31">
        <v>95.75</v>
      </c>
      <c r="CN28" s="31">
        <v>155.65</v>
      </c>
      <c r="CO28" s="31">
        <v>113.88</v>
      </c>
      <c r="CP28" s="31">
        <v>42.68</v>
      </c>
      <c r="CQ28" s="31">
        <v>87.34</v>
      </c>
      <c r="CR28" s="31">
        <v>118.82</v>
      </c>
      <c r="CS28" s="71">
        <v>12</v>
      </c>
      <c r="CT28" s="29" t="s">
        <v>48</v>
      </c>
      <c r="CU28" s="45">
        <f>SUM(CV28:DD28)</f>
        <v>950.0100000000001</v>
      </c>
      <c r="CV28" s="31">
        <v>0</v>
      </c>
      <c r="CW28" s="31">
        <v>76.95</v>
      </c>
      <c r="CX28" s="31">
        <v>165.02</v>
      </c>
      <c r="CY28" s="31">
        <v>110.39</v>
      </c>
      <c r="CZ28" s="31">
        <v>179.46</v>
      </c>
      <c r="DA28" s="31">
        <v>131.29</v>
      </c>
      <c r="DB28" s="31">
        <v>49.21</v>
      </c>
      <c r="DC28" s="31">
        <v>100.7</v>
      </c>
      <c r="DD28" s="31">
        <v>136.99</v>
      </c>
    </row>
    <row r="29" spans="1:108" s="38" customFormat="1" ht="12">
      <c r="A29" s="71">
        <v>13</v>
      </c>
      <c r="B29" s="29" t="s">
        <v>49</v>
      </c>
      <c r="C29" s="45">
        <f>SUM(D29:L29)</f>
        <v>97743.390000000014</v>
      </c>
      <c r="D29" s="31"/>
      <c r="E29" s="31">
        <f>Q29+AC29+AO29+BA29+BM29+BY29+CK29+CW29</f>
        <v>14562.32</v>
      </c>
      <c r="F29" s="31">
        <f t="shared" si="65"/>
        <v>15993.18</v>
      </c>
      <c r="G29" s="31">
        <f t="shared" si="65"/>
        <v>9452.19</v>
      </c>
      <c r="H29" s="31">
        <f t="shared" si="65"/>
        <v>19336.979999999996</v>
      </c>
      <c r="I29" s="31">
        <f t="shared" si="65"/>
        <v>12169.52</v>
      </c>
      <c r="J29" s="31">
        <f t="shared" si="65"/>
        <v>4622.1900000000005</v>
      </c>
      <c r="K29" s="31">
        <f t="shared" si="65"/>
        <v>9456.52</v>
      </c>
      <c r="L29" s="31">
        <f t="shared" si="65"/>
        <v>12150.49</v>
      </c>
      <c r="M29" s="72">
        <v>13</v>
      </c>
      <c r="N29" s="29" t="s">
        <v>49</v>
      </c>
      <c r="O29" s="45">
        <f>SUM(P29:X29)</f>
        <v>5942.17</v>
      </c>
      <c r="P29" s="31">
        <v>0</v>
      </c>
      <c r="Q29" s="31">
        <v>361.57</v>
      </c>
      <c r="R29" s="31">
        <v>1313.73</v>
      </c>
      <c r="S29" s="31">
        <v>1458.66</v>
      </c>
      <c r="T29" s="31">
        <v>843.22</v>
      </c>
      <c r="U29" s="52">
        <v>616.9</v>
      </c>
      <c r="V29" s="52">
        <v>231.23</v>
      </c>
      <c r="W29" s="52">
        <v>473.17</v>
      </c>
      <c r="X29" s="52">
        <v>643.69000000000005</v>
      </c>
      <c r="Y29" s="71">
        <v>13</v>
      </c>
      <c r="Z29" s="29" t="s">
        <v>49</v>
      </c>
      <c r="AA29" s="45">
        <f>SUM(AB29:AJ29)</f>
        <v>5812.1900000000005</v>
      </c>
      <c r="AB29" s="31">
        <v>0</v>
      </c>
      <c r="AC29" s="31">
        <v>330.59</v>
      </c>
      <c r="AD29" s="31">
        <v>1047.94</v>
      </c>
      <c r="AE29" s="31">
        <v>474.26</v>
      </c>
      <c r="AF29" s="31">
        <v>1198.76</v>
      </c>
      <c r="AG29" s="31">
        <v>1221.05</v>
      </c>
      <c r="AH29" s="31">
        <v>518.41999999999996</v>
      </c>
      <c r="AI29" s="31">
        <v>432.63</v>
      </c>
      <c r="AJ29" s="31">
        <v>588.54</v>
      </c>
      <c r="AK29" s="71">
        <v>13</v>
      </c>
      <c r="AL29" s="29" t="s">
        <v>49</v>
      </c>
      <c r="AM29" s="45">
        <f>SUM(AN29:AV29)</f>
        <v>23737</v>
      </c>
      <c r="AN29" s="31">
        <v>0</v>
      </c>
      <c r="AO29" s="31">
        <v>2561</v>
      </c>
      <c r="AP29" s="31">
        <v>3782</v>
      </c>
      <c r="AQ29" s="31">
        <v>2605</v>
      </c>
      <c r="AR29" s="31">
        <v>4092</v>
      </c>
      <c r="AS29" s="31">
        <v>3333</v>
      </c>
      <c r="AT29" s="31">
        <v>1150</v>
      </c>
      <c r="AU29" s="31">
        <v>2673</v>
      </c>
      <c r="AV29" s="31">
        <v>3541</v>
      </c>
      <c r="AW29" s="71">
        <v>13</v>
      </c>
      <c r="AX29" s="29" t="s">
        <v>49</v>
      </c>
      <c r="AY29" s="45">
        <f>SUM(AZ29:BH29)</f>
        <v>19110.310000000001</v>
      </c>
      <c r="AZ29" s="31">
        <v>0</v>
      </c>
      <c r="BA29" s="31">
        <f>1428.77+421.17</f>
        <v>1849.94</v>
      </c>
      <c r="BB29" s="31">
        <f>3008.6+903.17</f>
        <v>3911.77</v>
      </c>
      <c r="BC29" s="31">
        <f>554.34+604.19</f>
        <v>1158.5300000000002</v>
      </c>
      <c r="BD29" s="31">
        <f>3573.08+982.2</f>
        <v>4555.28</v>
      </c>
      <c r="BE29" s="31">
        <f>1520.48+718.58</f>
        <v>2239.06</v>
      </c>
      <c r="BF29" s="31">
        <f>725.23+269.34</f>
        <v>994.56999999999994</v>
      </c>
      <c r="BG29" s="31">
        <f>1468.92+551.15</f>
        <v>2020.0700000000002</v>
      </c>
      <c r="BH29" s="31">
        <f>1631.31+749.78</f>
        <v>2381.09</v>
      </c>
      <c r="BI29" s="71">
        <v>13</v>
      </c>
      <c r="BJ29" s="29" t="s">
        <v>49</v>
      </c>
      <c r="BK29" s="45">
        <f>SUM(BL29:BT29)</f>
        <v>9537.6899999999987</v>
      </c>
      <c r="BL29" s="31">
        <v>0</v>
      </c>
      <c r="BM29" s="31">
        <f>429.44</f>
        <v>429.44</v>
      </c>
      <c r="BN29" s="31">
        <f>502+920.91+158.58</f>
        <v>1581.4899999999998</v>
      </c>
      <c r="BO29" s="31">
        <f>529.88+616.06</f>
        <v>1145.94</v>
      </c>
      <c r="BP29" s="31">
        <f>2078.3+1001.49+172.42</f>
        <v>3252.21</v>
      </c>
      <c r="BQ29" s="31">
        <f>732.69+178.19</f>
        <v>910.88000000000011</v>
      </c>
      <c r="BR29" s="31">
        <f>274.63+66.81</f>
        <v>341.44</v>
      </c>
      <c r="BS29" s="31">
        <f>115+561.98</f>
        <v>676.98</v>
      </c>
      <c r="BT29" s="31">
        <f>434.8+764.51</f>
        <v>1199.31</v>
      </c>
      <c r="BU29" s="71">
        <v>13</v>
      </c>
      <c r="BV29" s="29" t="s">
        <v>49</v>
      </c>
      <c r="BW29" s="45">
        <f>SUM(BX29:CF29)</f>
        <v>8654.3700000000008</v>
      </c>
      <c r="BX29" s="31">
        <v>0</v>
      </c>
      <c r="BY29" s="31">
        <f>3821.85+288.97</f>
        <v>4110.82</v>
      </c>
      <c r="BZ29" s="31">
        <f>160+619.69</f>
        <v>779.69</v>
      </c>
      <c r="CA29" s="31">
        <f>414.54</f>
        <v>414.54</v>
      </c>
      <c r="CB29" s="31">
        <f>1093+673.9</f>
        <v>1766.9</v>
      </c>
      <c r="CC29" s="31">
        <f>12+493.03</f>
        <v>505.03</v>
      </c>
      <c r="CD29" s="31">
        <f>184.8</f>
        <v>184.8</v>
      </c>
      <c r="CE29" s="31">
        <f>378.16</f>
        <v>378.16</v>
      </c>
      <c r="CF29" s="31">
        <f>514.43</f>
        <v>514.42999999999995</v>
      </c>
      <c r="CG29" s="71">
        <v>13</v>
      </c>
      <c r="CH29" s="29" t="s">
        <v>49</v>
      </c>
      <c r="CI29" s="45">
        <f>SUM(CJ29:CR29)</f>
        <v>13911.82</v>
      </c>
      <c r="CJ29" s="31">
        <v>0</v>
      </c>
      <c r="CK29" s="31">
        <f>52.9+218.7+802.88</f>
        <v>1074.48</v>
      </c>
      <c r="CL29" s="31">
        <f>468.99+1721.74</f>
        <v>2190.73</v>
      </c>
      <c r="CM29" s="31">
        <f>313.74+1151.79</f>
        <v>1465.53</v>
      </c>
      <c r="CN29" s="31">
        <f>510.03+1872.4</f>
        <v>2382.4300000000003</v>
      </c>
      <c r="CO29" s="31">
        <f>429.33+373.14+1369.85</f>
        <v>2172.3199999999997</v>
      </c>
      <c r="CP29" s="31">
        <f>157.67+139.86+513.45</f>
        <v>810.98</v>
      </c>
      <c r="CQ29" s="31">
        <f>277.12+286.2+1050.68</f>
        <v>1614</v>
      </c>
      <c r="CR29" s="31">
        <f>382.68+389.34+1429.33</f>
        <v>2201.35</v>
      </c>
      <c r="CS29" s="71">
        <v>13</v>
      </c>
      <c r="CT29" s="29" t="s">
        <v>49</v>
      </c>
      <c r="CU29" s="45">
        <f>SUM(CV29:DD29)</f>
        <v>11037.84</v>
      </c>
      <c r="CV29" s="31">
        <v>0</v>
      </c>
      <c r="CW29" s="31">
        <f>3335.8+508.68</f>
        <v>3844.48</v>
      </c>
      <c r="CX29" s="31">
        <f>295+1090.83</f>
        <v>1385.83</v>
      </c>
      <c r="CY29" s="31">
        <v>729.73</v>
      </c>
      <c r="CZ29" s="31">
        <f>59.9+1186.28</f>
        <v>1246.18</v>
      </c>
      <c r="DA29" s="31">
        <f>160.5+102.96+39.93+867.89</f>
        <v>1171.28</v>
      </c>
      <c r="DB29" s="31">
        <f>38.59+26.86+325.3</f>
        <v>390.75</v>
      </c>
      <c r="DC29" s="31">
        <f>78.93+49.31+394.6+665.67</f>
        <v>1188.51</v>
      </c>
      <c r="DD29" s="31">
        <f>107.42+68.09+905.57</f>
        <v>1081.08</v>
      </c>
    </row>
    <row r="30" spans="1:108" s="38" customFormat="1" ht="12">
      <c r="A30" s="71">
        <v>14</v>
      </c>
      <c r="B30" s="29" t="s">
        <v>50</v>
      </c>
      <c r="C30" s="45">
        <f>SUM(E30:L30)</f>
        <v>3500</v>
      </c>
      <c r="D30" s="31"/>
      <c r="E30" s="31">
        <f>Q30+AC30+AO30+BA30+BM30+BY30+CK30+CW30</f>
        <v>283.5</v>
      </c>
      <c r="F30" s="31">
        <f t="shared" si="65"/>
        <v>607.95000000000005</v>
      </c>
      <c r="G30" s="31">
        <f t="shared" si="65"/>
        <v>406.7</v>
      </c>
      <c r="H30" s="31">
        <f t="shared" si="65"/>
        <v>661.15</v>
      </c>
      <c r="I30" s="31">
        <f t="shared" si="65"/>
        <v>483.7</v>
      </c>
      <c r="J30" s="31">
        <f t="shared" si="65"/>
        <v>181.3</v>
      </c>
      <c r="K30" s="31">
        <f t="shared" si="65"/>
        <v>371</v>
      </c>
      <c r="L30" s="31">
        <f t="shared" si="65"/>
        <v>504.7</v>
      </c>
      <c r="M30" s="72">
        <v>14</v>
      </c>
      <c r="N30" s="29" t="s">
        <v>50</v>
      </c>
      <c r="O30" s="45">
        <f t="shared" si="49"/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52">
        <v>0</v>
      </c>
      <c r="V30" s="52">
        <v>0</v>
      </c>
      <c r="W30" s="52">
        <v>0</v>
      </c>
      <c r="X30" s="52">
        <v>0</v>
      </c>
      <c r="Y30" s="71">
        <v>14</v>
      </c>
      <c r="Z30" s="29" t="s">
        <v>50</v>
      </c>
      <c r="AA30" s="45">
        <f t="shared" si="52"/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71">
        <v>14</v>
      </c>
      <c r="AL30" s="29" t="s">
        <v>50</v>
      </c>
      <c r="AM30" s="45">
        <f t="shared" ref="AM30" si="66">AO30+AP30+AQ30+AV30+AN30</f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71">
        <v>14</v>
      </c>
      <c r="AX30" s="29" t="s">
        <v>50</v>
      </c>
      <c r="AY30" s="45">
        <f t="shared" ref="AY30" si="67">BA30+BB30+BC30+BH30+AZ30</f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71">
        <v>14</v>
      </c>
      <c r="BJ30" s="29" t="s">
        <v>50</v>
      </c>
      <c r="BK30" s="45">
        <f t="shared" ref="BK30" si="68">BM30+BN30+BO30+BT30+BL30</f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Q30" s="31">
        <v>0</v>
      </c>
      <c r="BR30" s="31">
        <v>0</v>
      </c>
      <c r="BS30" s="31">
        <v>0</v>
      </c>
      <c r="BT30" s="31">
        <v>0</v>
      </c>
      <c r="BU30" s="71">
        <v>14</v>
      </c>
      <c r="BV30" s="29" t="s">
        <v>50</v>
      </c>
      <c r="BW30" s="45">
        <f t="shared" ref="BW30" si="69">BY30+BZ30+CA30+CF30+BX30</f>
        <v>0</v>
      </c>
      <c r="BX30" s="31">
        <v>0</v>
      </c>
      <c r="BY30" s="31">
        <v>0</v>
      </c>
      <c r="BZ30" s="31">
        <v>0</v>
      </c>
      <c r="CA30" s="31">
        <v>0</v>
      </c>
      <c r="CB30" s="31">
        <v>0</v>
      </c>
      <c r="CC30" s="31">
        <v>0</v>
      </c>
      <c r="CD30" s="31">
        <v>0</v>
      </c>
      <c r="CE30" s="31">
        <v>0</v>
      </c>
      <c r="CF30" s="31">
        <v>0</v>
      </c>
      <c r="CG30" s="71">
        <v>14</v>
      </c>
      <c r="CH30" s="29" t="s">
        <v>50</v>
      </c>
      <c r="CI30" s="45">
        <f>SUM(CK30:CR30)</f>
        <v>3500</v>
      </c>
      <c r="CJ30" s="31">
        <v>0</v>
      </c>
      <c r="CK30" s="31">
        <v>283.5</v>
      </c>
      <c r="CL30" s="31">
        <v>607.95000000000005</v>
      </c>
      <c r="CM30" s="31">
        <v>406.7</v>
      </c>
      <c r="CN30" s="31">
        <v>661.15</v>
      </c>
      <c r="CO30" s="31">
        <v>483.7</v>
      </c>
      <c r="CP30" s="31">
        <v>181.3</v>
      </c>
      <c r="CQ30" s="31">
        <v>371</v>
      </c>
      <c r="CR30" s="31">
        <v>504.7</v>
      </c>
      <c r="CS30" s="71">
        <v>14</v>
      </c>
      <c r="CT30" s="29" t="s">
        <v>50</v>
      </c>
      <c r="CU30" s="45">
        <f t="shared" ref="CU30" si="70">CW30+CX30+CY30+DD30+CV30</f>
        <v>0</v>
      </c>
      <c r="CV30" s="31">
        <v>0</v>
      </c>
      <c r="CW30" s="31">
        <v>0</v>
      </c>
      <c r="CX30" s="31">
        <v>0</v>
      </c>
      <c r="CY30" s="31">
        <v>0</v>
      </c>
      <c r="CZ30" s="31">
        <v>0</v>
      </c>
      <c r="DA30" s="31">
        <v>0</v>
      </c>
      <c r="DB30" s="31">
        <v>0</v>
      </c>
      <c r="DC30" s="31">
        <v>0</v>
      </c>
      <c r="DD30" s="31">
        <v>0</v>
      </c>
    </row>
    <row r="31" spans="1:108" s="38" customFormat="1" ht="24">
      <c r="A31" s="68">
        <v>15</v>
      </c>
      <c r="B31" s="29" t="s">
        <v>77</v>
      </c>
      <c r="C31" s="45">
        <f>SUM(E31:L31)</f>
        <v>23707</v>
      </c>
      <c r="D31" s="31"/>
      <c r="E31" s="31">
        <f>Q31+AC31+AO31+BA31+BM31+BY31+CK31+CW31</f>
        <v>1872</v>
      </c>
      <c r="F31" s="31">
        <f t="shared" si="65"/>
        <v>4015</v>
      </c>
      <c r="G31" s="31">
        <f t="shared" si="65"/>
        <v>3277</v>
      </c>
      <c r="H31" s="31">
        <f t="shared" si="65"/>
        <v>4367</v>
      </c>
      <c r="I31" s="31">
        <f t="shared" si="65"/>
        <v>3194</v>
      </c>
      <c r="J31" s="31">
        <f t="shared" si="65"/>
        <v>1198</v>
      </c>
      <c r="K31" s="31">
        <f t="shared" si="65"/>
        <v>2450</v>
      </c>
      <c r="L31" s="31">
        <f t="shared" si="65"/>
        <v>3334</v>
      </c>
      <c r="M31" s="70">
        <v>15</v>
      </c>
      <c r="N31" s="29" t="s">
        <v>77</v>
      </c>
      <c r="O31" s="45">
        <f t="shared" si="49"/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52">
        <v>0</v>
      </c>
      <c r="V31" s="52">
        <v>0</v>
      </c>
      <c r="W31" s="52">
        <v>0</v>
      </c>
      <c r="X31" s="52">
        <v>0</v>
      </c>
      <c r="Y31" s="68">
        <v>15</v>
      </c>
      <c r="Z31" s="29" t="s">
        <v>77</v>
      </c>
      <c r="AA31" s="45">
        <f t="shared" si="52"/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68">
        <v>15</v>
      </c>
      <c r="AL31" s="29" t="s">
        <v>77</v>
      </c>
      <c r="AM31" s="45">
        <f>SUM(AO31:AV31)</f>
        <v>5665</v>
      </c>
      <c r="AN31" s="31">
        <v>0</v>
      </c>
      <c r="AO31" s="31">
        <v>411</v>
      </c>
      <c r="AP31" s="31">
        <v>881</v>
      </c>
      <c r="AQ31" s="31">
        <v>1180</v>
      </c>
      <c r="AR31" s="31">
        <v>959</v>
      </c>
      <c r="AS31" s="31">
        <v>701</v>
      </c>
      <c r="AT31" s="31">
        <v>263</v>
      </c>
      <c r="AU31" s="31">
        <v>538</v>
      </c>
      <c r="AV31" s="31">
        <v>732</v>
      </c>
      <c r="AW31" s="68">
        <v>15</v>
      </c>
      <c r="AX31" s="29" t="s">
        <v>77</v>
      </c>
      <c r="AY31" s="45">
        <f>SUM(BA31:BH31)</f>
        <v>18042</v>
      </c>
      <c r="AZ31" s="31">
        <v>0</v>
      </c>
      <c r="BA31" s="31">
        <v>1461</v>
      </c>
      <c r="BB31" s="31">
        <v>3134</v>
      </c>
      <c r="BC31" s="31">
        <v>2097</v>
      </c>
      <c r="BD31" s="31">
        <v>3408</v>
      </c>
      <c r="BE31" s="31">
        <v>2493</v>
      </c>
      <c r="BF31" s="31">
        <v>935</v>
      </c>
      <c r="BG31" s="31">
        <v>1912</v>
      </c>
      <c r="BH31" s="31">
        <v>2602</v>
      </c>
      <c r="BI31" s="68">
        <v>15</v>
      </c>
      <c r="BJ31" s="29" t="s">
        <v>77</v>
      </c>
      <c r="BK31" s="45">
        <f>SUM(BM31:BT31)</f>
        <v>0</v>
      </c>
      <c r="BL31" s="31">
        <v>0</v>
      </c>
      <c r="BM31" s="31">
        <v>0</v>
      </c>
      <c r="BN31" s="31">
        <v>0</v>
      </c>
      <c r="BO31" s="31">
        <v>0</v>
      </c>
      <c r="BP31" s="31">
        <v>0</v>
      </c>
      <c r="BQ31" s="31">
        <v>0</v>
      </c>
      <c r="BR31" s="31">
        <v>0</v>
      </c>
      <c r="BS31" s="31">
        <v>0</v>
      </c>
      <c r="BT31" s="31">
        <v>0</v>
      </c>
      <c r="BU31" s="68">
        <v>15</v>
      </c>
      <c r="BV31" s="29" t="s">
        <v>77</v>
      </c>
      <c r="BW31" s="45">
        <f>SUM(BY31:CF31)</f>
        <v>0</v>
      </c>
      <c r="BX31" s="31">
        <v>0</v>
      </c>
      <c r="BY31" s="31">
        <v>0</v>
      </c>
      <c r="BZ31" s="31">
        <v>0</v>
      </c>
      <c r="CA31" s="31">
        <v>0</v>
      </c>
      <c r="CB31" s="31">
        <v>0</v>
      </c>
      <c r="CC31" s="31">
        <v>0</v>
      </c>
      <c r="CD31" s="31">
        <v>0</v>
      </c>
      <c r="CE31" s="31">
        <v>0</v>
      </c>
      <c r="CF31" s="31">
        <v>0</v>
      </c>
      <c r="CG31" s="68">
        <v>15</v>
      </c>
      <c r="CH31" s="29" t="s">
        <v>77</v>
      </c>
      <c r="CI31" s="45">
        <f>SUM(CK31:CR31)</f>
        <v>0</v>
      </c>
      <c r="CJ31" s="31">
        <v>0</v>
      </c>
      <c r="CK31" s="31">
        <v>0</v>
      </c>
      <c r="CL31" s="31">
        <v>0</v>
      </c>
      <c r="CM31" s="31">
        <v>0</v>
      </c>
      <c r="CN31" s="31">
        <v>0</v>
      </c>
      <c r="CO31" s="31">
        <v>0</v>
      </c>
      <c r="CP31" s="31">
        <v>0</v>
      </c>
      <c r="CQ31" s="31">
        <v>0</v>
      </c>
      <c r="CR31" s="31">
        <v>0</v>
      </c>
      <c r="CS31" s="68">
        <v>15</v>
      </c>
      <c r="CT31" s="29" t="s">
        <v>77</v>
      </c>
      <c r="CU31" s="45">
        <f>SUM(CW31:DD31)</f>
        <v>0</v>
      </c>
      <c r="CV31" s="31">
        <v>0</v>
      </c>
      <c r="CW31" s="31">
        <v>0</v>
      </c>
      <c r="CX31" s="31">
        <v>0</v>
      </c>
      <c r="CY31" s="31">
        <v>0</v>
      </c>
      <c r="CZ31" s="31">
        <v>0</v>
      </c>
      <c r="DA31" s="31">
        <v>0</v>
      </c>
      <c r="DB31" s="31">
        <v>0</v>
      </c>
      <c r="DC31" s="31">
        <v>0</v>
      </c>
      <c r="DD31" s="31">
        <v>0</v>
      </c>
    </row>
    <row r="32" spans="1:108" s="38" customFormat="1" ht="12">
      <c r="A32" s="71">
        <v>16</v>
      </c>
      <c r="B32" s="29" t="s">
        <v>51</v>
      </c>
      <c r="C32" s="45">
        <f t="shared" ref="C30:C41" si="71">E32+F32+G32+H32+D32</f>
        <v>0</v>
      </c>
      <c r="D32" s="31"/>
      <c r="E32" s="31">
        <v>0</v>
      </c>
      <c r="F32" s="31">
        <v>0</v>
      </c>
      <c r="G32" s="31">
        <v>0</v>
      </c>
      <c r="H32" s="32">
        <v>0</v>
      </c>
      <c r="I32" s="31">
        <v>0</v>
      </c>
      <c r="J32" s="31">
        <v>0</v>
      </c>
      <c r="K32" s="31">
        <v>0</v>
      </c>
      <c r="L32" s="31">
        <v>0</v>
      </c>
      <c r="M32" s="72">
        <v>16</v>
      </c>
      <c r="N32" s="29" t="s">
        <v>51</v>
      </c>
      <c r="O32" s="45">
        <f>Q32+R32+S32+T32+P32</f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52">
        <v>0</v>
      </c>
      <c r="V32" s="52">
        <v>0</v>
      </c>
      <c r="W32" s="52">
        <v>0</v>
      </c>
      <c r="X32" s="52">
        <v>0</v>
      </c>
      <c r="Y32" s="71">
        <v>16</v>
      </c>
      <c r="Z32" s="29" t="s">
        <v>51</v>
      </c>
      <c r="AA32" s="45">
        <f>AC32+AD32+AE32+AJ32+AB32</f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71">
        <v>16</v>
      </c>
      <c r="AL32" s="29" t="s">
        <v>51</v>
      </c>
      <c r="AM32" s="45">
        <f>AO32+AP32+AQ32+AV32+AN32</f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71">
        <v>16</v>
      </c>
      <c r="AX32" s="29" t="s">
        <v>51</v>
      </c>
      <c r="AY32" s="45">
        <f>BA32+BB32+BC32+BH32+AZ32</f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71">
        <v>16</v>
      </c>
      <c r="BJ32" s="29" t="s">
        <v>51</v>
      </c>
      <c r="BK32" s="45">
        <f>BM32+BN32+BO32+BT32+BL32</f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71">
        <v>16</v>
      </c>
      <c r="BV32" s="29" t="s">
        <v>51</v>
      </c>
      <c r="BW32" s="45">
        <f>BY32+BZ32+CA32+CF32+BX32</f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1">
        <v>0</v>
      </c>
      <c r="CE32" s="31">
        <v>0</v>
      </c>
      <c r="CF32" s="31">
        <v>0</v>
      </c>
      <c r="CG32" s="71">
        <v>16</v>
      </c>
      <c r="CH32" s="29" t="s">
        <v>51</v>
      </c>
      <c r="CI32" s="45">
        <f>CK32+CL32+CM32+CR32+CJ32</f>
        <v>0</v>
      </c>
      <c r="CJ32" s="31">
        <v>0</v>
      </c>
      <c r="CK32" s="31">
        <v>0</v>
      </c>
      <c r="CL32" s="31">
        <v>0</v>
      </c>
      <c r="CM32" s="31">
        <v>0</v>
      </c>
      <c r="CN32" s="31">
        <v>0</v>
      </c>
      <c r="CO32" s="31">
        <v>0</v>
      </c>
      <c r="CP32" s="31">
        <v>0</v>
      </c>
      <c r="CQ32" s="31">
        <v>0</v>
      </c>
      <c r="CR32" s="31">
        <v>0</v>
      </c>
      <c r="CS32" s="71">
        <v>16</v>
      </c>
      <c r="CT32" s="29" t="s">
        <v>51</v>
      </c>
      <c r="CU32" s="45">
        <f>CW32+CX32+CY32+DD32+CV32</f>
        <v>0</v>
      </c>
      <c r="CV32" s="31">
        <v>0</v>
      </c>
      <c r="CW32" s="31">
        <v>0</v>
      </c>
      <c r="CX32" s="31">
        <v>0</v>
      </c>
      <c r="CY32" s="31">
        <v>0</v>
      </c>
      <c r="CZ32" s="31">
        <v>0</v>
      </c>
      <c r="DA32" s="31">
        <v>0</v>
      </c>
      <c r="DB32" s="31">
        <v>0</v>
      </c>
      <c r="DC32" s="31">
        <v>0</v>
      </c>
      <c r="DD32" s="31">
        <v>0</v>
      </c>
    </row>
    <row r="33" spans="1:108" s="38" customFormat="1" ht="12">
      <c r="A33" s="71">
        <v>17</v>
      </c>
      <c r="B33" s="73" t="s">
        <v>52</v>
      </c>
      <c r="C33" s="45">
        <f>SUM(E33:L33)</f>
        <v>6611.01</v>
      </c>
      <c r="D33" s="31"/>
      <c r="E33" s="31">
        <f>BY33</f>
        <v>0</v>
      </c>
      <c r="F33" s="31">
        <f t="shared" ref="F33:L33" si="72">BZ33</f>
        <v>1248.1600000000001</v>
      </c>
      <c r="G33" s="31">
        <f t="shared" si="72"/>
        <v>834.31</v>
      </c>
      <c r="H33" s="31">
        <f t="shared" si="72"/>
        <v>1353.93</v>
      </c>
      <c r="I33" s="31">
        <f t="shared" si="72"/>
        <v>995.62</v>
      </c>
      <c r="J33" s="31">
        <f t="shared" si="72"/>
        <v>368.89</v>
      </c>
      <c r="K33" s="31">
        <f t="shared" si="72"/>
        <v>760.27</v>
      </c>
      <c r="L33" s="31">
        <f t="shared" si="72"/>
        <v>1049.83</v>
      </c>
      <c r="M33" s="72">
        <v>17</v>
      </c>
      <c r="N33" s="73" t="s">
        <v>52</v>
      </c>
      <c r="O33" s="45">
        <f t="shared" ref="O33:O54" si="73">Q33+R33+S33+T33+P33</f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52">
        <v>0</v>
      </c>
      <c r="V33" s="52">
        <v>0</v>
      </c>
      <c r="W33" s="52">
        <v>0</v>
      </c>
      <c r="X33" s="52">
        <v>0</v>
      </c>
      <c r="Y33" s="71">
        <v>17</v>
      </c>
      <c r="Z33" s="73" t="s">
        <v>52</v>
      </c>
      <c r="AA33" s="45">
        <f t="shared" ref="AA33:AA38" si="74">AC33+AD33+AE33+AJ33+AB33</f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71">
        <v>17</v>
      </c>
      <c r="AL33" s="73" t="s">
        <v>52</v>
      </c>
      <c r="AM33" s="45">
        <f t="shared" ref="AM33:AM38" si="75">AO33+AP33+AQ33+AV33+AN33</f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71">
        <v>17</v>
      </c>
      <c r="AX33" s="73" t="s">
        <v>52</v>
      </c>
      <c r="AY33" s="45">
        <f t="shared" ref="AY33:AY34" si="76">BA33+BB33+BC33+BH33+AZ33</f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0</v>
      </c>
      <c r="BF33" s="31">
        <v>0</v>
      </c>
      <c r="BG33" s="31">
        <v>0</v>
      </c>
      <c r="BH33" s="31">
        <v>0</v>
      </c>
      <c r="BI33" s="71">
        <v>17</v>
      </c>
      <c r="BJ33" s="73" t="s">
        <v>52</v>
      </c>
      <c r="BK33" s="45">
        <f t="shared" ref="BK33:BK34" si="77">BM33+BN33+BO33+BT33+BL33</f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31">
        <v>0</v>
      </c>
      <c r="BR33" s="31">
        <v>0</v>
      </c>
      <c r="BS33" s="31">
        <v>0</v>
      </c>
      <c r="BT33" s="31">
        <v>0</v>
      </c>
      <c r="BU33" s="71">
        <v>17</v>
      </c>
      <c r="BV33" s="73" t="s">
        <v>52</v>
      </c>
      <c r="BW33" s="45">
        <f>SUM(BY33:CF33)</f>
        <v>6611.01</v>
      </c>
      <c r="BX33" s="31">
        <v>0</v>
      </c>
      <c r="BY33" s="31">
        <v>0</v>
      </c>
      <c r="BZ33" s="31">
        <v>1248.1600000000001</v>
      </c>
      <c r="CA33" s="31">
        <v>834.31</v>
      </c>
      <c r="CB33" s="31">
        <v>1353.93</v>
      </c>
      <c r="CC33" s="31">
        <v>995.62</v>
      </c>
      <c r="CD33" s="31">
        <v>368.89</v>
      </c>
      <c r="CE33" s="31">
        <v>760.27</v>
      </c>
      <c r="CF33" s="31">
        <v>1049.83</v>
      </c>
      <c r="CG33" s="71">
        <v>17</v>
      </c>
      <c r="CH33" s="73" t="s">
        <v>52</v>
      </c>
      <c r="CI33" s="45">
        <f>SUM(CK33:CR33)</f>
        <v>0</v>
      </c>
      <c r="CJ33" s="31">
        <v>0</v>
      </c>
      <c r="CK33" s="31">
        <v>0</v>
      </c>
      <c r="CL33" s="31">
        <v>0</v>
      </c>
      <c r="CM33" s="31">
        <v>0</v>
      </c>
      <c r="CN33" s="31">
        <v>0</v>
      </c>
      <c r="CO33" s="31">
        <v>0</v>
      </c>
      <c r="CP33" s="31">
        <v>0</v>
      </c>
      <c r="CQ33" s="31">
        <v>0</v>
      </c>
      <c r="CR33" s="31">
        <v>0</v>
      </c>
      <c r="CS33" s="71">
        <v>17</v>
      </c>
      <c r="CT33" s="73" t="s">
        <v>52</v>
      </c>
      <c r="CU33" s="45">
        <f>SUM(CW33:DD33)</f>
        <v>0</v>
      </c>
      <c r="CV33" s="31">
        <v>0</v>
      </c>
      <c r="CW33" s="31">
        <v>0</v>
      </c>
      <c r="CX33" s="31">
        <v>0</v>
      </c>
      <c r="CY33" s="31">
        <v>0</v>
      </c>
      <c r="CZ33" s="31">
        <v>0</v>
      </c>
      <c r="DA33" s="31">
        <v>0</v>
      </c>
      <c r="DB33" s="31">
        <v>0</v>
      </c>
      <c r="DC33" s="31">
        <v>0</v>
      </c>
      <c r="DD33" s="31">
        <v>0</v>
      </c>
    </row>
    <row r="34" spans="1:108" s="38" customFormat="1" ht="12">
      <c r="A34" s="71">
        <v>18</v>
      </c>
      <c r="B34" s="73" t="s">
        <v>53</v>
      </c>
      <c r="C34" s="45">
        <f t="shared" si="71"/>
        <v>0</v>
      </c>
      <c r="D34" s="31"/>
      <c r="E34" s="31">
        <v>0</v>
      </c>
      <c r="F34" s="31">
        <v>0</v>
      </c>
      <c r="G34" s="31">
        <v>0</v>
      </c>
      <c r="H34" s="32">
        <v>0</v>
      </c>
      <c r="I34" s="31">
        <v>0</v>
      </c>
      <c r="J34" s="31">
        <v>0</v>
      </c>
      <c r="K34" s="31">
        <v>0</v>
      </c>
      <c r="L34" s="31">
        <v>0</v>
      </c>
      <c r="M34" s="72">
        <v>18</v>
      </c>
      <c r="N34" s="73" t="s">
        <v>53</v>
      </c>
      <c r="O34" s="45">
        <f t="shared" si="73"/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52">
        <v>0</v>
      </c>
      <c r="V34" s="52">
        <v>0</v>
      </c>
      <c r="W34" s="52">
        <v>0</v>
      </c>
      <c r="X34" s="52">
        <v>0</v>
      </c>
      <c r="Y34" s="71">
        <v>18</v>
      </c>
      <c r="Z34" s="73" t="s">
        <v>53</v>
      </c>
      <c r="AA34" s="45">
        <f t="shared" si="74"/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71">
        <v>18</v>
      </c>
      <c r="AL34" s="73" t="s">
        <v>53</v>
      </c>
      <c r="AM34" s="45">
        <f t="shared" si="75"/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71">
        <v>18</v>
      </c>
      <c r="AX34" s="73" t="s">
        <v>53</v>
      </c>
      <c r="AY34" s="45">
        <f t="shared" si="76"/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71">
        <v>18</v>
      </c>
      <c r="BJ34" s="73" t="s">
        <v>53</v>
      </c>
      <c r="BK34" s="45">
        <f t="shared" si="77"/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71">
        <v>18</v>
      </c>
      <c r="BV34" s="73" t="s">
        <v>53</v>
      </c>
      <c r="BW34" s="45">
        <f t="shared" ref="BW34" si="78">BY34+BZ34+CA34+CF34+BX34</f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0</v>
      </c>
      <c r="CC34" s="31">
        <v>0</v>
      </c>
      <c r="CD34" s="31">
        <v>0</v>
      </c>
      <c r="CE34" s="31">
        <v>0</v>
      </c>
      <c r="CF34" s="31">
        <v>0</v>
      </c>
      <c r="CG34" s="71">
        <v>18</v>
      </c>
      <c r="CH34" s="73" t="s">
        <v>53</v>
      </c>
      <c r="CI34" s="45">
        <f t="shared" ref="CI34" si="79">CK34+CL34+CM34+CR34+CJ34</f>
        <v>0</v>
      </c>
      <c r="CJ34" s="31">
        <v>0</v>
      </c>
      <c r="CK34" s="31">
        <v>0</v>
      </c>
      <c r="CL34" s="31">
        <v>0</v>
      </c>
      <c r="CM34" s="31">
        <v>0</v>
      </c>
      <c r="CN34" s="31">
        <v>0</v>
      </c>
      <c r="CO34" s="31">
        <v>0</v>
      </c>
      <c r="CP34" s="31">
        <v>0</v>
      </c>
      <c r="CQ34" s="31">
        <v>0</v>
      </c>
      <c r="CR34" s="31">
        <v>0</v>
      </c>
      <c r="CS34" s="71">
        <v>18</v>
      </c>
      <c r="CT34" s="73" t="s">
        <v>53</v>
      </c>
      <c r="CU34" s="45">
        <f t="shared" ref="CU34" si="80">CW34+CX34+CY34+DD34+CV34</f>
        <v>0</v>
      </c>
      <c r="CV34" s="31">
        <v>0</v>
      </c>
      <c r="CW34" s="31">
        <v>0</v>
      </c>
      <c r="CX34" s="31">
        <v>0</v>
      </c>
      <c r="CY34" s="31">
        <v>0</v>
      </c>
      <c r="CZ34" s="31">
        <v>0</v>
      </c>
      <c r="DA34" s="31">
        <v>0</v>
      </c>
      <c r="DB34" s="31">
        <v>0</v>
      </c>
      <c r="DC34" s="31">
        <v>0</v>
      </c>
      <c r="DD34" s="31">
        <v>0</v>
      </c>
    </row>
    <row r="35" spans="1:108" s="38" customFormat="1" ht="35.25" customHeight="1">
      <c r="A35" s="68">
        <v>19</v>
      </c>
      <c r="B35" s="74" t="s">
        <v>54</v>
      </c>
      <c r="C35" s="45">
        <f>SUM(D35:L35)</f>
        <v>3133.0000000000009</v>
      </c>
      <c r="D35" s="31"/>
      <c r="E35" s="31">
        <f>Q35+AC35+AO35+BA35+BM35+BY35+CK35+CW35</f>
        <v>253.72</v>
      </c>
      <c r="F35" s="31">
        <f t="shared" ref="F35:L36" si="81">R35+AD35+AP35+BB35+BN35+BZ35+CL35+CX35</f>
        <v>544.41999999999996</v>
      </c>
      <c r="G35" s="31">
        <f t="shared" si="81"/>
        <v>363.64</v>
      </c>
      <c r="H35" s="31">
        <f t="shared" si="81"/>
        <v>591.67999999999995</v>
      </c>
      <c r="I35" s="31">
        <f t="shared" si="81"/>
        <v>433.47</v>
      </c>
      <c r="J35" s="31">
        <f t="shared" si="81"/>
        <v>162.30000000000001</v>
      </c>
      <c r="K35" s="31">
        <f t="shared" si="81"/>
        <v>331.8</v>
      </c>
      <c r="L35" s="31">
        <f t="shared" si="81"/>
        <v>451.97</v>
      </c>
      <c r="M35" s="70">
        <v>19</v>
      </c>
      <c r="N35" s="73" t="s">
        <v>55</v>
      </c>
      <c r="O35" s="45">
        <f>SUM(Q35:X35)</f>
        <v>83</v>
      </c>
      <c r="P35" s="31">
        <v>0</v>
      </c>
      <c r="Q35" s="31">
        <v>6.72</v>
      </c>
      <c r="R35" s="31">
        <v>14.42</v>
      </c>
      <c r="S35" s="31">
        <v>9.64</v>
      </c>
      <c r="T35" s="31">
        <v>15.68</v>
      </c>
      <c r="U35" s="52">
        <v>11.47</v>
      </c>
      <c r="V35" s="52">
        <v>4.3</v>
      </c>
      <c r="W35" s="52">
        <v>8.8000000000000007</v>
      </c>
      <c r="X35" s="52">
        <v>11.97</v>
      </c>
      <c r="Y35" s="68">
        <v>19</v>
      </c>
      <c r="Z35" s="73" t="s">
        <v>55</v>
      </c>
      <c r="AA35" s="45">
        <f t="shared" si="74"/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68">
        <v>19</v>
      </c>
      <c r="AL35" s="73" t="s">
        <v>55</v>
      </c>
      <c r="AM35" s="45">
        <f>SUM(AO35:AV35)</f>
        <v>3050</v>
      </c>
      <c r="AN35" s="31">
        <v>0</v>
      </c>
      <c r="AO35" s="31">
        <v>247</v>
      </c>
      <c r="AP35" s="31">
        <v>530</v>
      </c>
      <c r="AQ35" s="31">
        <v>354</v>
      </c>
      <c r="AR35" s="31">
        <v>576</v>
      </c>
      <c r="AS35" s="31">
        <v>422</v>
      </c>
      <c r="AT35" s="31">
        <v>158</v>
      </c>
      <c r="AU35" s="31">
        <v>323</v>
      </c>
      <c r="AV35" s="31">
        <v>440</v>
      </c>
      <c r="AW35" s="68">
        <v>19</v>
      </c>
      <c r="AX35" s="73" t="s">
        <v>55</v>
      </c>
      <c r="AY35" s="45">
        <f>SUM(BA35:BH35)</f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0</v>
      </c>
      <c r="BF35" s="31">
        <v>0</v>
      </c>
      <c r="BG35" s="31">
        <v>0</v>
      </c>
      <c r="BH35" s="31">
        <v>0</v>
      </c>
      <c r="BI35" s="68">
        <v>19</v>
      </c>
      <c r="BJ35" s="73" t="s">
        <v>55</v>
      </c>
      <c r="BK35" s="45">
        <f>SUM(BM35:BT35)</f>
        <v>0</v>
      </c>
      <c r="BL35" s="31">
        <v>0</v>
      </c>
      <c r="BM35" s="31">
        <v>0</v>
      </c>
      <c r="BN35" s="31">
        <v>0</v>
      </c>
      <c r="BO35" s="31">
        <v>0</v>
      </c>
      <c r="BP35" s="31">
        <v>0</v>
      </c>
      <c r="BQ35" s="31">
        <v>0</v>
      </c>
      <c r="BR35" s="31">
        <v>0</v>
      </c>
      <c r="BS35" s="31">
        <v>0</v>
      </c>
      <c r="BT35" s="31">
        <v>0</v>
      </c>
      <c r="BU35" s="68">
        <v>19</v>
      </c>
      <c r="BV35" s="73" t="s">
        <v>55</v>
      </c>
      <c r="BW35" s="45">
        <f>SUM(BY35:CF35)</f>
        <v>0</v>
      </c>
      <c r="BX35" s="31">
        <v>0</v>
      </c>
      <c r="BY35" s="31">
        <v>0</v>
      </c>
      <c r="BZ35" s="31">
        <v>0</v>
      </c>
      <c r="CA35" s="31">
        <v>0</v>
      </c>
      <c r="CB35" s="31">
        <v>0</v>
      </c>
      <c r="CC35" s="31">
        <v>0</v>
      </c>
      <c r="CD35" s="31">
        <v>0</v>
      </c>
      <c r="CE35" s="31">
        <v>0</v>
      </c>
      <c r="CF35" s="31">
        <v>0</v>
      </c>
      <c r="CG35" s="68">
        <v>19</v>
      </c>
      <c r="CH35" s="73" t="s">
        <v>55</v>
      </c>
      <c r="CI35" s="45">
        <f>SUM(CK35:CR35)</f>
        <v>0</v>
      </c>
      <c r="CJ35" s="31">
        <v>0</v>
      </c>
      <c r="CK35" s="31">
        <v>0</v>
      </c>
      <c r="CL35" s="31">
        <v>0</v>
      </c>
      <c r="CM35" s="31">
        <v>0</v>
      </c>
      <c r="CN35" s="31">
        <v>0</v>
      </c>
      <c r="CO35" s="31">
        <v>0</v>
      </c>
      <c r="CP35" s="31">
        <v>0</v>
      </c>
      <c r="CQ35" s="31">
        <v>0</v>
      </c>
      <c r="CR35" s="31">
        <v>0</v>
      </c>
      <c r="CS35" s="68">
        <v>19</v>
      </c>
      <c r="CT35" s="73" t="s">
        <v>55</v>
      </c>
      <c r="CU35" s="45">
        <f>SUM(CW35:DD35)</f>
        <v>0</v>
      </c>
      <c r="CV35" s="31">
        <v>0</v>
      </c>
      <c r="CW35" s="31">
        <v>0</v>
      </c>
      <c r="CX35" s="31">
        <v>0</v>
      </c>
      <c r="CY35" s="31">
        <v>0</v>
      </c>
      <c r="CZ35" s="31">
        <v>0</v>
      </c>
      <c r="DA35" s="31">
        <v>0</v>
      </c>
      <c r="DB35" s="31">
        <v>0</v>
      </c>
      <c r="DC35" s="31">
        <v>0</v>
      </c>
      <c r="DD35" s="31">
        <v>0</v>
      </c>
    </row>
    <row r="36" spans="1:108" s="38" customFormat="1" ht="12">
      <c r="A36" s="71">
        <v>20</v>
      </c>
      <c r="B36" s="73" t="s">
        <v>56</v>
      </c>
      <c r="C36" s="45">
        <f>SUM(E36:L36)</f>
        <v>37686.050000000003</v>
      </c>
      <c r="D36" s="31"/>
      <c r="E36" s="31">
        <f>Q36+AC36+AO36+BA36+BM36+BY36+CK36+CW36</f>
        <v>209.47</v>
      </c>
      <c r="F36" s="31">
        <f t="shared" si="81"/>
        <v>449.2</v>
      </c>
      <c r="G36" s="31">
        <f t="shared" si="81"/>
        <v>300.5</v>
      </c>
      <c r="H36" s="31">
        <f t="shared" si="81"/>
        <v>488.5</v>
      </c>
      <c r="I36" s="31">
        <f t="shared" si="81"/>
        <v>11378.79</v>
      </c>
      <c r="J36" s="31">
        <f t="shared" si="81"/>
        <v>4265.2300000000005</v>
      </c>
      <c r="K36" s="31">
        <f t="shared" si="81"/>
        <v>8722.69</v>
      </c>
      <c r="L36" s="31">
        <f t="shared" si="81"/>
        <v>11871.67</v>
      </c>
      <c r="M36" s="72">
        <v>20</v>
      </c>
      <c r="N36" s="73" t="s">
        <v>56</v>
      </c>
      <c r="O36" s="45">
        <f t="shared" si="73"/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52">
        <v>0</v>
      </c>
      <c r="V36" s="52">
        <v>0</v>
      </c>
      <c r="W36" s="52">
        <v>0</v>
      </c>
      <c r="X36" s="52">
        <v>0</v>
      </c>
      <c r="Y36" s="71">
        <v>20</v>
      </c>
      <c r="Z36" s="73" t="s">
        <v>56</v>
      </c>
      <c r="AA36" s="45">
        <f t="shared" si="74"/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71">
        <v>20</v>
      </c>
      <c r="AL36" s="73" t="s">
        <v>56</v>
      </c>
      <c r="AM36" s="45">
        <f t="shared" si="75"/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71">
        <v>20</v>
      </c>
      <c r="AX36" s="73" t="s">
        <v>56</v>
      </c>
      <c r="AY36" s="45">
        <f t="shared" ref="AY36:AY38" si="82">BA36+BB36+BC36+BH36+AZ36</f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  <c r="BE36" s="31">
        <v>0</v>
      </c>
      <c r="BF36" s="31">
        <v>0</v>
      </c>
      <c r="BG36" s="31">
        <v>0</v>
      </c>
      <c r="BH36" s="31">
        <v>0</v>
      </c>
      <c r="BI36" s="71">
        <v>20</v>
      </c>
      <c r="BJ36" s="73" t="s">
        <v>56</v>
      </c>
      <c r="BK36" s="45">
        <f>SUM(BM36:BT36)</f>
        <v>14040</v>
      </c>
      <c r="BL36" s="31">
        <v>0</v>
      </c>
      <c r="BM36" s="31">
        <v>0</v>
      </c>
      <c r="BN36" s="31">
        <v>0</v>
      </c>
      <c r="BO36" s="31">
        <v>0</v>
      </c>
      <c r="BP36" s="31">
        <v>0</v>
      </c>
      <c r="BQ36" s="31">
        <v>4408.5600000000004</v>
      </c>
      <c r="BR36" s="31">
        <v>1652.51</v>
      </c>
      <c r="BS36" s="31">
        <v>3379.43</v>
      </c>
      <c r="BT36" s="31">
        <v>4599.5</v>
      </c>
      <c r="BU36" s="71">
        <v>20</v>
      </c>
      <c r="BV36" s="73" t="s">
        <v>56</v>
      </c>
      <c r="BW36" s="45">
        <f>SUM(BY36:CF36)</f>
        <v>23646.050000000003</v>
      </c>
      <c r="BX36" s="31">
        <v>0</v>
      </c>
      <c r="BY36" s="31">
        <v>209.47</v>
      </c>
      <c r="BZ36" s="31">
        <v>449.2</v>
      </c>
      <c r="CA36" s="31">
        <v>300.5</v>
      </c>
      <c r="CB36" s="31">
        <v>488.5</v>
      </c>
      <c r="CC36" s="31">
        <f>6612.84+357.39</f>
        <v>6970.2300000000005</v>
      </c>
      <c r="CD36" s="31">
        <f>2478.76+133.96</f>
        <v>2612.7200000000003</v>
      </c>
      <c r="CE36" s="31">
        <f>5069.14+274.12</f>
        <v>5343.26</v>
      </c>
      <c r="CF36" s="31">
        <f>6899.26+372.91</f>
        <v>7272.17</v>
      </c>
      <c r="CG36" s="71">
        <v>20</v>
      </c>
      <c r="CH36" s="73" t="s">
        <v>56</v>
      </c>
      <c r="CI36" s="45">
        <f>SUM(CK36:CR36)</f>
        <v>0</v>
      </c>
      <c r="CJ36" s="31">
        <v>0</v>
      </c>
      <c r="CK36" s="31">
        <v>0</v>
      </c>
      <c r="CL36" s="31">
        <v>0</v>
      </c>
      <c r="CM36" s="31">
        <v>0</v>
      </c>
      <c r="CN36" s="31">
        <v>0</v>
      </c>
      <c r="CO36" s="31">
        <v>0</v>
      </c>
      <c r="CP36" s="31">
        <v>0</v>
      </c>
      <c r="CQ36" s="31">
        <v>0</v>
      </c>
      <c r="CR36" s="31">
        <v>0</v>
      </c>
      <c r="CS36" s="71">
        <v>20</v>
      </c>
      <c r="CT36" s="73" t="s">
        <v>56</v>
      </c>
      <c r="CU36" s="45">
        <f>SUM(CW36:DD36)</f>
        <v>0</v>
      </c>
      <c r="CV36" s="31">
        <v>0</v>
      </c>
      <c r="CW36" s="31">
        <v>0</v>
      </c>
      <c r="CX36" s="31">
        <v>0</v>
      </c>
      <c r="CY36" s="31">
        <v>0</v>
      </c>
      <c r="CZ36" s="31">
        <v>0</v>
      </c>
      <c r="DA36" s="31">
        <v>0</v>
      </c>
      <c r="DB36" s="31">
        <v>0</v>
      </c>
      <c r="DC36" s="31">
        <v>0</v>
      </c>
      <c r="DD36" s="31">
        <v>0</v>
      </c>
    </row>
    <row r="37" spans="1:108" s="38" customFormat="1" ht="12">
      <c r="A37" s="71">
        <v>21</v>
      </c>
      <c r="B37" s="73" t="s">
        <v>83</v>
      </c>
      <c r="C37" s="45">
        <f>SUM(E37:L37)</f>
        <v>12880</v>
      </c>
      <c r="D37" s="31"/>
      <c r="E37" s="31">
        <v>0</v>
      </c>
      <c r="F37" s="31">
        <v>0</v>
      </c>
      <c r="G37" s="31">
        <f>CA37</f>
        <v>12880</v>
      </c>
      <c r="H37" s="32">
        <v>0</v>
      </c>
      <c r="I37" s="31">
        <v>0</v>
      </c>
      <c r="J37" s="31">
        <v>0</v>
      </c>
      <c r="K37" s="31">
        <v>0</v>
      </c>
      <c r="L37" s="31">
        <v>0</v>
      </c>
      <c r="M37" s="72">
        <v>21</v>
      </c>
      <c r="N37" s="73" t="s">
        <v>83</v>
      </c>
      <c r="O37" s="45">
        <f t="shared" si="73"/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52">
        <v>0</v>
      </c>
      <c r="V37" s="52">
        <v>0</v>
      </c>
      <c r="W37" s="52">
        <v>0</v>
      </c>
      <c r="X37" s="52">
        <v>0</v>
      </c>
      <c r="Y37" s="71">
        <v>21</v>
      </c>
      <c r="Z37" s="73" t="s">
        <v>83</v>
      </c>
      <c r="AA37" s="45">
        <f t="shared" si="74"/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71">
        <v>21</v>
      </c>
      <c r="AL37" s="73" t="s">
        <v>83</v>
      </c>
      <c r="AM37" s="45">
        <f t="shared" si="75"/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71">
        <v>21</v>
      </c>
      <c r="AX37" s="73" t="s">
        <v>83</v>
      </c>
      <c r="AY37" s="45">
        <f t="shared" si="82"/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  <c r="BE37" s="31">
        <v>0</v>
      </c>
      <c r="BF37" s="31">
        <v>0</v>
      </c>
      <c r="BG37" s="31">
        <v>0</v>
      </c>
      <c r="BH37" s="31">
        <v>0</v>
      </c>
      <c r="BI37" s="71">
        <v>21</v>
      </c>
      <c r="BJ37" s="73" t="s">
        <v>83</v>
      </c>
      <c r="BK37" s="45">
        <f t="shared" ref="BK37:BK38" si="83">BM37+BN37+BO37+BT37+BL37</f>
        <v>0</v>
      </c>
      <c r="BL37" s="31">
        <v>0</v>
      </c>
      <c r="BM37" s="31">
        <v>0</v>
      </c>
      <c r="BN37" s="31">
        <v>0</v>
      </c>
      <c r="BO37" s="31">
        <v>0</v>
      </c>
      <c r="BP37" s="31">
        <v>0</v>
      </c>
      <c r="BQ37" s="31">
        <v>0</v>
      </c>
      <c r="BR37" s="31">
        <v>0</v>
      </c>
      <c r="BS37" s="31">
        <v>0</v>
      </c>
      <c r="BT37" s="31">
        <v>0</v>
      </c>
      <c r="BU37" s="71">
        <v>21</v>
      </c>
      <c r="BV37" s="73" t="s">
        <v>82</v>
      </c>
      <c r="BW37" s="45">
        <f t="shared" ref="BW37:BW38" si="84">BY37+BZ37+CA37+CF37+BX37</f>
        <v>12880</v>
      </c>
      <c r="BX37" s="31">
        <v>0</v>
      </c>
      <c r="BY37" s="31">
        <v>0</v>
      </c>
      <c r="BZ37" s="31">
        <v>0</v>
      </c>
      <c r="CA37" s="31">
        <v>12880</v>
      </c>
      <c r="CB37" s="31">
        <v>0</v>
      </c>
      <c r="CC37" s="31">
        <v>0</v>
      </c>
      <c r="CD37" s="31">
        <v>0</v>
      </c>
      <c r="CE37" s="31">
        <v>0</v>
      </c>
      <c r="CF37" s="31">
        <v>0</v>
      </c>
      <c r="CG37" s="71">
        <v>21</v>
      </c>
      <c r="CH37" s="73" t="s">
        <v>82</v>
      </c>
      <c r="CI37" s="45">
        <f t="shared" ref="CI37:CI38" si="85">CK37+CL37+CM37+CR37+CJ37</f>
        <v>0</v>
      </c>
      <c r="CJ37" s="31">
        <v>0</v>
      </c>
      <c r="CK37" s="31">
        <v>0</v>
      </c>
      <c r="CL37" s="31">
        <v>0</v>
      </c>
      <c r="CM37" s="31">
        <v>0</v>
      </c>
      <c r="CN37" s="31">
        <v>0</v>
      </c>
      <c r="CO37" s="31">
        <v>0</v>
      </c>
      <c r="CP37" s="31">
        <v>0</v>
      </c>
      <c r="CQ37" s="31">
        <v>0</v>
      </c>
      <c r="CR37" s="31">
        <v>0</v>
      </c>
      <c r="CS37" s="71">
        <v>21</v>
      </c>
      <c r="CT37" s="73" t="s">
        <v>82</v>
      </c>
      <c r="CU37" s="45">
        <f t="shared" ref="CU37:CU38" si="86">CW37+CX37+CY37+DD37+CV37</f>
        <v>0</v>
      </c>
      <c r="CV37" s="31">
        <v>0</v>
      </c>
      <c r="CW37" s="31">
        <v>0</v>
      </c>
      <c r="CX37" s="31">
        <v>0</v>
      </c>
      <c r="CY37" s="31">
        <v>0</v>
      </c>
      <c r="CZ37" s="31">
        <v>0</v>
      </c>
      <c r="DA37" s="31">
        <v>0</v>
      </c>
      <c r="DB37" s="31">
        <v>0</v>
      </c>
      <c r="DC37" s="31">
        <v>0</v>
      </c>
      <c r="DD37" s="31">
        <v>0</v>
      </c>
    </row>
    <row r="38" spans="1:108" s="38" customFormat="1" ht="12">
      <c r="A38" s="71">
        <v>22</v>
      </c>
      <c r="B38" s="75" t="s">
        <v>57</v>
      </c>
      <c r="C38" s="45">
        <f t="shared" si="71"/>
        <v>0</v>
      </c>
      <c r="D38" s="31"/>
      <c r="E38" s="31">
        <v>0</v>
      </c>
      <c r="F38" s="31">
        <v>0</v>
      </c>
      <c r="G38" s="31">
        <v>0</v>
      </c>
      <c r="H38" s="32">
        <v>0</v>
      </c>
      <c r="I38" s="31">
        <v>0</v>
      </c>
      <c r="J38" s="31">
        <v>0</v>
      </c>
      <c r="K38" s="31">
        <v>0</v>
      </c>
      <c r="L38" s="31">
        <v>0</v>
      </c>
      <c r="M38" s="72">
        <v>22</v>
      </c>
      <c r="N38" s="75" t="s">
        <v>57</v>
      </c>
      <c r="O38" s="45">
        <f t="shared" si="73"/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52">
        <v>0</v>
      </c>
      <c r="V38" s="52">
        <v>0</v>
      </c>
      <c r="W38" s="52">
        <v>0</v>
      </c>
      <c r="X38" s="52">
        <v>0</v>
      </c>
      <c r="Y38" s="71">
        <v>22</v>
      </c>
      <c r="Z38" s="75" t="s">
        <v>57</v>
      </c>
      <c r="AA38" s="45">
        <f t="shared" si="74"/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71">
        <v>22</v>
      </c>
      <c r="AL38" s="75" t="s">
        <v>57</v>
      </c>
      <c r="AM38" s="45">
        <f t="shared" si="75"/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71">
        <v>22</v>
      </c>
      <c r="AX38" s="75" t="s">
        <v>57</v>
      </c>
      <c r="AY38" s="45">
        <f t="shared" si="82"/>
        <v>0</v>
      </c>
      <c r="AZ38" s="31">
        <v>0</v>
      </c>
      <c r="BA38" s="31">
        <v>0</v>
      </c>
      <c r="BB38" s="31">
        <v>0</v>
      </c>
      <c r="BC38" s="31">
        <v>0</v>
      </c>
      <c r="BD38" s="31">
        <v>0</v>
      </c>
      <c r="BE38" s="31">
        <v>0</v>
      </c>
      <c r="BF38" s="31">
        <v>0</v>
      </c>
      <c r="BG38" s="31">
        <v>0</v>
      </c>
      <c r="BH38" s="31">
        <v>0</v>
      </c>
      <c r="BI38" s="71">
        <v>22</v>
      </c>
      <c r="BJ38" s="75" t="s">
        <v>57</v>
      </c>
      <c r="BK38" s="45">
        <f t="shared" si="83"/>
        <v>0</v>
      </c>
      <c r="BL38" s="31">
        <v>0</v>
      </c>
      <c r="BM38" s="31">
        <v>0</v>
      </c>
      <c r="BN38" s="31">
        <v>0</v>
      </c>
      <c r="BO38" s="31">
        <v>0</v>
      </c>
      <c r="BP38" s="31">
        <v>0</v>
      </c>
      <c r="BQ38" s="31">
        <v>0</v>
      </c>
      <c r="BR38" s="31">
        <v>0</v>
      </c>
      <c r="BS38" s="31">
        <v>0</v>
      </c>
      <c r="BT38" s="31">
        <v>0</v>
      </c>
      <c r="BU38" s="71">
        <v>22</v>
      </c>
      <c r="BV38" s="75" t="s">
        <v>57</v>
      </c>
      <c r="BW38" s="45">
        <f t="shared" si="84"/>
        <v>0</v>
      </c>
      <c r="BX38" s="31">
        <v>0</v>
      </c>
      <c r="BY38" s="31">
        <v>0</v>
      </c>
      <c r="BZ38" s="31">
        <v>0</v>
      </c>
      <c r="CA38" s="31">
        <v>0</v>
      </c>
      <c r="CB38" s="31">
        <v>0</v>
      </c>
      <c r="CC38" s="31">
        <v>0</v>
      </c>
      <c r="CD38" s="31">
        <v>0</v>
      </c>
      <c r="CE38" s="31">
        <v>0</v>
      </c>
      <c r="CF38" s="31">
        <v>0</v>
      </c>
      <c r="CG38" s="71">
        <v>22</v>
      </c>
      <c r="CH38" s="75" t="s">
        <v>57</v>
      </c>
      <c r="CI38" s="45">
        <f t="shared" si="85"/>
        <v>0</v>
      </c>
      <c r="CJ38" s="31">
        <v>0</v>
      </c>
      <c r="CK38" s="31">
        <v>0</v>
      </c>
      <c r="CL38" s="31">
        <v>0</v>
      </c>
      <c r="CM38" s="31">
        <v>0</v>
      </c>
      <c r="CN38" s="31">
        <v>0</v>
      </c>
      <c r="CO38" s="31">
        <v>0</v>
      </c>
      <c r="CP38" s="31">
        <v>0</v>
      </c>
      <c r="CQ38" s="31">
        <v>0</v>
      </c>
      <c r="CR38" s="31">
        <v>0</v>
      </c>
      <c r="CS38" s="71">
        <v>22</v>
      </c>
      <c r="CT38" s="75" t="s">
        <v>57</v>
      </c>
      <c r="CU38" s="45">
        <f t="shared" si="86"/>
        <v>0</v>
      </c>
      <c r="CV38" s="31">
        <v>0</v>
      </c>
      <c r="CW38" s="31">
        <v>0</v>
      </c>
      <c r="CX38" s="31">
        <v>0</v>
      </c>
      <c r="CY38" s="31">
        <v>0</v>
      </c>
      <c r="CZ38" s="31">
        <v>0</v>
      </c>
      <c r="DA38" s="31">
        <v>0</v>
      </c>
      <c r="DB38" s="31">
        <v>0</v>
      </c>
      <c r="DC38" s="31">
        <v>0</v>
      </c>
      <c r="DD38" s="31">
        <v>0</v>
      </c>
    </row>
    <row r="39" spans="1:108" s="38" customFormat="1" ht="12">
      <c r="A39" s="71">
        <v>23</v>
      </c>
      <c r="B39" s="73" t="s">
        <v>58</v>
      </c>
      <c r="C39" s="45">
        <f>SUM(D39:L39)</f>
        <v>2850</v>
      </c>
      <c r="D39" s="31"/>
      <c r="E39" s="31">
        <f>Q39+AC39+AO39+BA39+BM39+BY39+CK39+CW39</f>
        <v>0</v>
      </c>
      <c r="F39" s="31">
        <f t="shared" ref="F39:L39" si="87">R39+AD39+AP39+BB39+BN39+BZ39+CL39+CX39</f>
        <v>0</v>
      </c>
      <c r="G39" s="31">
        <f t="shared" si="87"/>
        <v>0</v>
      </c>
      <c r="H39" s="31">
        <f t="shared" si="87"/>
        <v>0</v>
      </c>
      <c r="I39" s="31">
        <f t="shared" si="87"/>
        <v>0</v>
      </c>
      <c r="J39" s="31">
        <f t="shared" si="87"/>
        <v>0</v>
      </c>
      <c r="K39" s="31">
        <f t="shared" si="87"/>
        <v>1140</v>
      </c>
      <c r="L39" s="31">
        <f t="shared" si="87"/>
        <v>1710</v>
      </c>
      <c r="M39" s="72">
        <v>23</v>
      </c>
      <c r="N39" s="73" t="s">
        <v>58</v>
      </c>
      <c r="O39" s="45">
        <f t="shared" si="73"/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52">
        <v>0</v>
      </c>
      <c r="V39" s="52">
        <v>0</v>
      </c>
      <c r="W39" s="52">
        <v>0</v>
      </c>
      <c r="X39" s="52">
        <v>0</v>
      </c>
      <c r="Y39" s="71">
        <v>23</v>
      </c>
      <c r="Z39" s="73" t="s">
        <v>58</v>
      </c>
      <c r="AA39" s="45">
        <f>SUM(AB39:AJ39)</f>
        <v>2850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1140</v>
      </c>
      <c r="AJ39" s="31">
        <v>1710</v>
      </c>
      <c r="AK39" s="71">
        <v>23</v>
      </c>
      <c r="AL39" s="73" t="s">
        <v>58</v>
      </c>
      <c r="AM39" s="45">
        <f>SUM(AN39:AV39)</f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71">
        <v>23</v>
      </c>
      <c r="AX39" s="73" t="s">
        <v>58</v>
      </c>
      <c r="AY39" s="45">
        <f>SUM(AZ39:BH39)</f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  <c r="BE39" s="31">
        <v>0</v>
      </c>
      <c r="BF39" s="31">
        <v>0</v>
      </c>
      <c r="BG39" s="31">
        <v>0</v>
      </c>
      <c r="BH39" s="31">
        <v>0</v>
      </c>
      <c r="BI39" s="71">
        <v>23</v>
      </c>
      <c r="BJ39" s="73" t="s">
        <v>58</v>
      </c>
      <c r="BK39" s="45">
        <f>SUM(BL39:BT39)</f>
        <v>0</v>
      </c>
      <c r="BL39" s="31">
        <v>0</v>
      </c>
      <c r="BM39" s="31">
        <v>0</v>
      </c>
      <c r="BN39" s="31">
        <v>0</v>
      </c>
      <c r="BO39" s="31">
        <v>0</v>
      </c>
      <c r="BP39" s="31">
        <v>0</v>
      </c>
      <c r="BQ39" s="31">
        <v>0</v>
      </c>
      <c r="BR39" s="31">
        <v>0</v>
      </c>
      <c r="BS39" s="31">
        <v>0</v>
      </c>
      <c r="BT39" s="31">
        <v>0</v>
      </c>
      <c r="BU39" s="71">
        <v>23</v>
      </c>
      <c r="BV39" s="73" t="s">
        <v>58</v>
      </c>
      <c r="BW39" s="45">
        <f>SUM(BX39:CF39)</f>
        <v>0</v>
      </c>
      <c r="BX39" s="31">
        <v>0</v>
      </c>
      <c r="BY39" s="31">
        <v>0</v>
      </c>
      <c r="BZ39" s="31">
        <v>0</v>
      </c>
      <c r="CA39" s="31">
        <v>0</v>
      </c>
      <c r="CB39" s="31">
        <v>0</v>
      </c>
      <c r="CC39" s="31">
        <v>0</v>
      </c>
      <c r="CD39" s="31">
        <v>0</v>
      </c>
      <c r="CE39" s="31">
        <v>0</v>
      </c>
      <c r="CF39" s="31">
        <v>0</v>
      </c>
      <c r="CG39" s="71">
        <v>23</v>
      </c>
      <c r="CH39" s="73" t="s">
        <v>58</v>
      </c>
      <c r="CI39" s="45">
        <f>SUM(CJ39:CR39)</f>
        <v>0</v>
      </c>
      <c r="CJ39" s="31">
        <v>0</v>
      </c>
      <c r="CK39" s="31">
        <v>0</v>
      </c>
      <c r="CL39" s="31">
        <v>0</v>
      </c>
      <c r="CM39" s="31">
        <v>0</v>
      </c>
      <c r="CN39" s="31">
        <v>0</v>
      </c>
      <c r="CO39" s="31">
        <v>0</v>
      </c>
      <c r="CP39" s="31">
        <v>0</v>
      </c>
      <c r="CQ39" s="31">
        <v>0</v>
      </c>
      <c r="CR39" s="31">
        <v>0</v>
      </c>
      <c r="CS39" s="71">
        <v>23</v>
      </c>
      <c r="CT39" s="73" t="s">
        <v>58</v>
      </c>
      <c r="CU39" s="45">
        <f>SUM(CV39:DD39)</f>
        <v>0</v>
      </c>
      <c r="CV39" s="31">
        <v>0</v>
      </c>
      <c r="CW39" s="31">
        <v>0</v>
      </c>
      <c r="CX39" s="31">
        <v>0</v>
      </c>
      <c r="CY39" s="31">
        <v>0</v>
      </c>
      <c r="CZ39" s="31">
        <v>0</v>
      </c>
      <c r="DA39" s="31">
        <v>0</v>
      </c>
      <c r="DB39" s="31">
        <v>0</v>
      </c>
      <c r="DC39" s="31">
        <v>0</v>
      </c>
      <c r="DD39" s="31">
        <v>0</v>
      </c>
    </row>
    <row r="40" spans="1:108" s="38" customFormat="1" ht="12">
      <c r="A40" s="71">
        <v>24</v>
      </c>
      <c r="B40" s="73" t="s">
        <v>59</v>
      </c>
      <c r="C40" s="45">
        <f t="shared" si="71"/>
        <v>0</v>
      </c>
      <c r="D40" s="31"/>
      <c r="E40" s="31">
        <v>0</v>
      </c>
      <c r="F40" s="31">
        <v>0</v>
      </c>
      <c r="G40" s="31">
        <v>0</v>
      </c>
      <c r="H40" s="32">
        <v>0</v>
      </c>
      <c r="I40" s="31">
        <v>0</v>
      </c>
      <c r="J40" s="31">
        <v>0</v>
      </c>
      <c r="K40" s="31">
        <v>0</v>
      </c>
      <c r="L40" s="31">
        <v>0</v>
      </c>
      <c r="M40" s="72">
        <v>24</v>
      </c>
      <c r="N40" s="73" t="s">
        <v>59</v>
      </c>
      <c r="O40" s="45">
        <f t="shared" si="73"/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52">
        <v>0</v>
      </c>
      <c r="V40" s="52">
        <v>0</v>
      </c>
      <c r="W40" s="52">
        <v>0</v>
      </c>
      <c r="X40" s="52">
        <v>0</v>
      </c>
      <c r="Y40" s="71">
        <v>24</v>
      </c>
      <c r="Z40" s="73" t="s">
        <v>59</v>
      </c>
      <c r="AA40" s="45">
        <f t="shared" ref="AA40:AA55" si="88">AC40+AD40+AE40+AJ40+AB40</f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71">
        <v>24</v>
      </c>
      <c r="AL40" s="73" t="s">
        <v>59</v>
      </c>
      <c r="AM40" s="45">
        <f t="shared" ref="AM40:AM42" si="89">AO40+AP40+AQ40+AV40+AN40</f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71">
        <v>24</v>
      </c>
      <c r="AX40" s="73" t="s">
        <v>59</v>
      </c>
      <c r="AY40" s="45">
        <f t="shared" ref="AY40:AY42" si="90">BA40+BB40+BC40+BH40+AZ40</f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71">
        <v>24</v>
      </c>
      <c r="BJ40" s="73" t="s">
        <v>59</v>
      </c>
      <c r="BK40" s="45">
        <f t="shared" ref="BK40:BK42" si="91">BM40+BN40+BO40+BT40+BL40</f>
        <v>0</v>
      </c>
      <c r="BL40" s="31">
        <v>0</v>
      </c>
      <c r="BM40" s="31">
        <v>0</v>
      </c>
      <c r="BN40" s="31">
        <v>0</v>
      </c>
      <c r="BO40" s="31">
        <v>0</v>
      </c>
      <c r="BP40" s="31">
        <v>0</v>
      </c>
      <c r="BQ40" s="31">
        <v>0</v>
      </c>
      <c r="BR40" s="31">
        <v>0</v>
      </c>
      <c r="BS40" s="31">
        <v>0</v>
      </c>
      <c r="BT40" s="31">
        <v>0</v>
      </c>
      <c r="BU40" s="71">
        <v>24</v>
      </c>
      <c r="BV40" s="73" t="s">
        <v>59</v>
      </c>
      <c r="BW40" s="45">
        <f t="shared" ref="BW40:BW42" si="92">BY40+BZ40+CA40+CF40+BX40</f>
        <v>0</v>
      </c>
      <c r="BX40" s="31">
        <v>0</v>
      </c>
      <c r="BY40" s="31">
        <v>0</v>
      </c>
      <c r="BZ40" s="31">
        <v>0</v>
      </c>
      <c r="CA40" s="31">
        <v>0</v>
      </c>
      <c r="CB40" s="31">
        <v>0</v>
      </c>
      <c r="CC40" s="31">
        <v>0</v>
      </c>
      <c r="CD40" s="31">
        <v>0</v>
      </c>
      <c r="CE40" s="31">
        <v>0</v>
      </c>
      <c r="CF40" s="31">
        <v>0</v>
      </c>
      <c r="CG40" s="71">
        <v>24</v>
      </c>
      <c r="CH40" s="73" t="s">
        <v>59</v>
      </c>
      <c r="CI40" s="45">
        <f t="shared" ref="CI40:CI42" si="93">CK40+CL40+CM40+CR40+CJ40</f>
        <v>0</v>
      </c>
      <c r="CJ40" s="31">
        <v>0</v>
      </c>
      <c r="CK40" s="31">
        <v>0</v>
      </c>
      <c r="CL40" s="31">
        <v>0</v>
      </c>
      <c r="CM40" s="31">
        <v>0</v>
      </c>
      <c r="CN40" s="31">
        <v>0</v>
      </c>
      <c r="CO40" s="31">
        <v>0</v>
      </c>
      <c r="CP40" s="31">
        <v>0</v>
      </c>
      <c r="CQ40" s="31">
        <v>0</v>
      </c>
      <c r="CR40" s="31">
        <v>0</v>
      </c>
      <c r="CS40" s="71">
        <v>24</v>
      </c>
      <c r="CT40" s="73" t="s">
        <v>59</v>
      </c>
      <c r="CU40" s="45">
        <f t="shared" ref="CU40:CU42" si="94">CW40+CX40+CY40+DD40+CV40</f>
        <v>0</v>
      </c>
      <c r="CV40" s="31">
        <v>0</v>
      </c>
      <c r="CW40" s="31">
        <v>0</v>
      </c>
      <c r="CX40" s="31">
        <v>0</v>
      </c>
      <c r="CY40" s="31">
        <v>0</v>
      </c>
      <c r="CZ40" s="31">
        <v>0</v>
      </c>
      <c r="DA40" s="31">
        <v>0</v>
      </c>
      <c r="DB40" s="31">
        <v>0</v>
      </c>
      <c r="DC40" s="31">
        <v>0</v>
      </c>
      <c r="DD40" s="31">
        <v>0</v>
      </c>
    </row>
    <row r="41" spans="1:108" s="38" customFormat="1" ht="24">
      <c r="A41" s="68">
        <v>25</v>
      </c>
      <c r="B41" s="73" t="s">
        <v>60</v>
      </c>
      <c r="C41" s="45">
        <f t="shared" si="71"/>
        <v>0</v>
      </c>
      <c r="D41" s="31"/>
      <c r="E41" s="31">
        <v>0</v>
      </c>
      <c r="F41" s="31">
        <v>0</v>
      </c>
      <c r="G41" s="31">
        <v>0</v>
      </c>
      <c r="H41" s="32">
        <v>0</v>
      </c>
      <c r="I41" s="31">
        <v>0</v>
      </c>
      <c r="J41" s="31">
        <v>0</v>
      </c>
      <c r="K41" s="31">
        <v>0</v>
      </c>
      <c r="L41" s="31">
        <v>0</v>
      </c>
      <c r="M41" s="70">
        <v>25</v>
      </c>
      <c r="N41" s="73" t="s">
        <v>60</v>
      </c>
      <c r="O41" s="45">
        <f t="shared" si="73"/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52">
        <v>0</v>
      </c>
      <c r="V41" s="52">
        <v>0</v>
      </c>
      <c r="W41" s="52">
        <v>0</v>
      </c>
      <c r="X41" s="52">
        <v>0</v>
      </c>
      <c r="Y41" s="68">
        <v>25</v>
      </c>
      <c r="Z41" s="73" t="s">
        <v>60</v>
      </c>
      <c r="AA41" s="45">
        <f t="shared" si="88"/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  <c r="AK41" s="68">
        <v>25</v>
      </c>
      <c r="AL41" s="73" t="s">
        <v>60</v>
      </c>
      <c r="AM41" s="45">
        <f t="shared" si="89"/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0</v>
      </c>
      <c r="AV41" s="31">
        <v>0</v>
      </c>
      <c r="AW41" s="68">
        <v>25</v>
      </c>
      <c r="AX41" s="73" t="s">
        <v>60</v>
      </c>
      <c r="AY41" s="45">
        <f t="shared" si="90"/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  <c r="BE41" s="31">
        <v>0</v>
      </c>
      <c r="BF41" s="31">
        <v>0</v>
      </c>
      <c r="BG41" s="31">
        <v>0</v>
      </c>
      <c r="BH41" s="31">
        <v>0</v>
      </c>
      <c r="BI41" s="68">
        <v>25</v>
      </c>
      <c r="BJ41" s="73" t="s">
        <v>60</v>
      </c>
      <c r="BK41" s="45">
        <f t="shared" si="91"/>
        <v>0</v>
      </c>
      <c r="BL41" s="31">
        <v>0</v>
      </c>
      <c r="BM41" s="31">
        <v>0</v>
      </c>
      <c r="BN41" s="31">
        <v>0</v>
      </c>
      <c r="BO41" s="31">
        <v>0</v>
      </c>
      <c r="BP41" s="31">
        <v>0</v>
      </c>
      <c r="BQ41" s="31">
        <v>0</v>
      </c>
      <c r="BR41" s="31">
        <v>0</v>
      </c>
      <c r="BS41" s="31">
        <v>0</v>
      </c>
      <c r="BT41" s="31">
        <v>0</v>
      </c>
      <c r="BU41" s="68">
        <v>25</v>
      </c>
      <c r="BV41" s="73" t="s">
        <v>60</v>
      </c>
      <c r="BW41" s="45">
        <f t="shared" si="92"/>
        <v>0</v>
      </c>
      <c r="BX41" s="31">
        <v>0</v>
      </c>
      <c r="BY41" s="31">
        <v>0</v>
      </c>
      <c r="BZ41" s="31">
        <v>0</v>
      </c>
      <c r="CA41" s="31">
        <v>0</v>
      </c>
      <c r="CB41" s="31">
        <v>0</v>
      </c>
      <c r="CC41" s="31">
        <v>0</v>
      </c>
      <c r="CD41" s="31">
        <v>0</v>
      </c>
      <c r="CE41" s="31">
        <v>0</v>
      </c>
      <c r="CF41" s="31">
        <v>0</v>
      </c>
      <c r="CG41" s="68">
        <v>25</v>
      </c>
      <c r="CH41" s="73" t="s">
        <v>60</v>
      </c>
      <c r="CI41" s="45">
        <f t="shared" si="93"/>
        <v>0</v>
      </c>
      <c r="CJ41" s="31">
        <v>0</v>
      </c>
      <c r="CK41" s="31">
        <v>0</v>
      </c>
      <c r="CL41" s="31">
        <v>0</v>
      </c>
      <c r="CM41" s="31">
        <v>0</v>
      </c>
      <c r="CN41" s="31">
        <v>0</v>
      </c>
      <c r="CO41" s="31">
        <v>0</v>
      </c>
      <c r="CP41" s="31">
        <v>0</v>
      </c>
      <c r="CQ41" s="31">
        <v>0</v>
      </c>
      <c r="CR41" s="31">
        <v>0</v>
      </c>
      <c r="CS41" s="68">
        <v>25</v>
      </c>
      <c r="CT41" s="73" t="s">
        <v>60</v>
      </c>
      <c r="CU41" s="45">
        <f t="shared" si="94"/>
        <v>0</v>
      </c>
      <c r="CV41" s="31">
        <v>0</v>
      </c>
      <c r="CW41" s="31">
        <v>0</v>
      </c>
      <c r="CX41" s="31">
        <v>0</v>
      </c>
      <c r="CY41" s="31">
        <v>0</v>
      </c>
      <c r="CZ41" s="31">
        <v>0</v>
      </c>
      <c r="DA41" s="31">
        <v>0</v>
      </c>
      <c r="DB41" s="31">
        <v>0</v>
      </c>
      <c r="DC41" s="31">
        <v>0</v>
      </c>
      <c r="DD41" s="31">
        <v>0</v>
      </c>
    </row>
    <row r="42" spans="1:108" s="38" customFormat="1" ht="12">
      <c r="A42" s="71">
        <v>26</v>
      </c>
      <c r="B42" s="73" t="s">
        <v>61</v>
      </c>
      <c r="C42" s="45">
        <f>E42+F42+G42+H42+D42</f>
        <v>0</v>
      </c>
      <c r="D42" s="31"/>
      <c r="E42" s="31">
        <v>0</v>
      </c>
      <c r="F42" s="31">
        <v>0</v>
      </c>
      <c r="G42" s="31">
        <v>0</v>
      </c>
      <c r="H42" s="32">
        <v>0</v>
      </c>
      <c r="I42" s="31">
        <v>0</v>
      </c>
      <c r="J42" s="31">
        <v>0</v>
      </c>
      <c r="K42" s="31">
        <v>0</v>
      </c>
      <c r="L42" s="31">
        <v>0</v>
      </c>
      <c r="M42" s="72">
        <v>26</v>
      </c>
      <c r="N42" s="73" t="s">
        <v>61</v>
      </c>
      <c r="O42" s="45">
        <f t="shared" si="73"/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52">
        <v>0</v>
      </c>
      <c r="V42" s="52">
        <v>0</v>
      </c>
      <c r="W42" s="52">
        <v>0</v>
      </c>
      <c r="X42" s="52">
        <v>0</v>
      </c>
      <c r="Y42" s="71">
        <v>26</v>
      </c>
      <c r="Z42" s="73" t="s">
        <v>61</v>
      </c>
      <c r="AA42" s="45">
        <f t="shared" si="88"/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71">
        <v>26</v>
      </c>
      <c r="AL42" s="73" t="s">
        <v>61</v>
      </c>
      <c r="AM42" s="45">
        <f t="shared" si="89"/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71">
        <v>26</v>
      </c>
      <c r="AX42" s="73" t="s">
        <v>61</v>
      </c>
      <c r="AY42" s="45">
        <f t="shared" si="90"/>
        <v>0</v>
      </c>
      <c r="AZ42" s="31">
        <v>0</v>
      </c>
      <c r="BA42" s="31">
        <v>0</v>
      </c>
      <c r="BB42" s="31">
        <v>0</v>
      </c>
      <c r="BC42" s="31">
        <v>0</v>
      </c>
      <c r="BD42" s="31">
        <v>0</v>
      </c>
      <c r="BE42" s="31">
        <v>0</v>
      </c>
      <c r="BF42" s="31">
        <v>0</v>
      </c>
      <c r="BG42" s="31">
        <v>0</v>
      </c>
      <c r="BH42" s="31">
        <v>0</v>
      </c>
      <c r="BI42" s="71">
        <v>26</v>
      </c>
      <c r="BJ42" s="73" t="s">
        <v>61</v>
      </c>
      <c r="BK42" s="45">
        <f t="shared" si="91"/>
        <v>0</v>
      </c>
      <c r="BL42" s="31">
        <v>0</v>
      </c>
      <c r="BM42" s="31">
        <v>0</v>
      </c>
      <c r="BN42" s="31">
        <v>0</v>
      </c>
      <c r="BO42" s="31">
        <v>0</v>
      </c>
      <c r="BP42" s="31">
        <v>0</v>
      </c>
      <c r="BQ42" s="31">
        <v>0</v>
      </c>
      <c r="BR42" s="31">
        <v>0</v>
      </c>
      <c r="BS42" s="31">
        <v>0</v>
      </c>
      <c r="BT42" s="31">
        <v>0</v>
      </c>
      <c r="BU42" s="71">
        <v>26</v>
      </c>
      <c r="BV42" s="73" t="s">
        <v>61</v>
      </c>
      <c r="BW42" s="45">
        <f t="shared" si="92"/>
        <v>0</v>
      </c>
      <c r="BX42" s="31">
        <v>0</v>
      </c>
      <c r="BY42" s="31">
        <v>0</v>
      </c>
      <c r="BZ42" s="31">
        <v>0</v>
      </c>
      <c r="CA42" s="31">
        <v>0</v>
      </c>
      <c r="CB42" s="31">
        <v>0</v>
      </c>
      <c r="CC42" s="31">
        <v>0</v>
      </c>
      <c r="CD42" s="31">
        <v>0</v>
      </c>
      <c r="CE42" s="31">
        <v>0</v>
      </c>
      <c r="CF42" s="31">
        <v>0</v>
      </c>
      <c r="CG42" s="71">
        <v>26</v>
      </c>
      <c r="CH42" s="73" t="s">
        <v>61</v>
      </c>
      <c r="CI42" s="45">
        <f t="shared" si="93"/>
        <v>0</v>
      </c>
      <c r="CJ42" s="31">
        <v>0</v>
      </c>
      <c r="CK42" s="31">
        <v>0</v>
      </c>
      <c r="CL42" s="31">
        <v>0</v>
      </c>
      <c r="CM42" s="31">
        <v>0</v>
      </c>
      <c r="CN42" s="31">
        <v>0</v>
      </c>
      <c r="CO42" s="31">
        <v>0</v>
      </c>
      <c r="CP42" s="31">
        <v>0</v>
      </c>
      <c r="CQ42" s="31">
        <v>0</v>
      </c>
      <c r="CR42" s="31">
        <v>0</v>
      </c>
      <c r="CS42" s="71">
        <v>26</v>
      </c>
      <c r="CT42" s="73" t="s">
        <v>61</v>
      </c>
      <c r="CU42" s="45">
        <f t="shared" si="94"/>
        <v>0</v>
      </c>
      <c r="CV42" s="31">
        <v>0</v>
      </c>
      <c r="CW42" s="31">
        <v>0</v>
      </c>
      <c r="CX42" s="31">
        <v>0</v>
      </c>
      <c r="CY42" s="31">
        <v>0</v>
      </c>
      <c r="CZ42" s="31">
        <v>0</v>
      </c>
      <c r="DA42" s="31">
        <v>0</v>
      </c>
      <c r="DB42" s="31">
        <v>0</v>
      </c>
      <c r="DC42" s="31">
        <v>0</v>
      </c>
      <c r="DD42" s="31">
        <v>0</v>
      </c>
    </row>
    <row r="43" spans="1:108">
      <c r="A43" s="71">
        <v>27</v>
      </c>
      <c r="B43" s="67" t="s">
        <v>62</v>
      </c>
      <c r="C43" s="45">
        <f>SUM(D43:L43)</f>
        <v>62041.680000000008</v>
      </c>
      <c r="D43" s="76"/>
      <c r="E43" s="31">
        <f>Q43+AC43+AO43+BA43+BM43+BY43+CK43+CW43</f>
        <v>3361.16</v>
      </c>
      <c r="F43" s="31">
        <f t="shared" ref="F43:L43" si="95">R43+AD43+AP43+BB43+BN43+BZ43+CL43+CX43</f>
        <v>9611.7799999999988</v>
      </c>
      <c r="G43" s="31">
        <f t="shared" si="95"/>
        <v>7687.3</v>
      </c>
      <c r="H43" s="31">
        <f t="shared" si="95"/>
        <v>6651.61</v>
      </c>
      <c r="I43" s="31">
        <f t="shared" si="95"/>
        <v>10904.36</v>
      </c>
      <c r="J43" s="31">
        <f t="shared" si="95"/>
        <v>4087.3</v>
      </c>
      <c r="K43" s="31">
        <f t="shared" si="95"/>
        <v>8361.01</v>
      </c>
      <c r="L43" s="31">
        <f t="shared" si="95"/>
        <v>11377.16</v>
      </c>
      <c r="M43" s="72">
        <v>27</v>
      </c>
      <c r="N43" s="67" t="s">
        <v>63</v>
      </c>
      <c r="O43" s="45">
        <f>SUM(P43:X43)</f>
        <v>3910.26</v>
      </c>
      <c r="P43" s="76"/>
      <c r="Q43" s="31">
        <v>0</v>
      </c>
      <c r="R43" s="31">
        <v>0</v>
      </c>
      <c r="S43" s="31">
        <v>0</v>
      </c>
      <c r="T43" s="31">
        <v>0</v>
      </c>
      <c r="U43" s="52">
        <v>1227.82</v>
      </c>
      <c r="V43" s="52">
        <v>460.24</v>
      </c>
      <c r="W43" s="52">
        <v>941.2</v>
      </c>
      <c r="X43" s="52">
        <v>1281</v>
      </c>
      <c r="Y43" s="71">
        <v>27</v>
      </c>
      <c r="Z43" s="67" t="s">
        <v>63</v>
      </c>
      <c r="AA43" s="45">
        <f>SUM(AB43:AJ43)</f>
        <v>21319.14</v>
      </c>
      <c r="AB43" s="77">
        <v>0</v>
      </c>
      <c r="AC43" s="31">
        <v>0</v>
      </c>
      <c r="AD43" s="31">
        <v>2404.37</v>
      </c>
      <c r="AE43" s="31">
        <v>3595.63</v>
      </c>
      <c r="AF43" s="31"/>
      <c r="AG43" s="31">
        <v>4810.21</v>
      </c>
      <c r="AH43" s="31">
        <v>1803.06</v>
      </c>
      <c r="AI43" s="31">
        <v>3687.32</v>
      </c>
      <c r="AJ43" s="31">
        <v>5018.55</v>
      </c>
      <c r="AK43" s="71">
        <v>27</v>
      </c>
      <c r="AL43" s="67" t="s">
        <v>63</v>
      </c>
      <c r="AM43" s="45">
        <f>SUM(AN43:AV43)</f>
        <v>0</v>
      </c>
      <c r="AN43" s="77">
        <v>0</v>
      </c>
      <c r="AO43" s="31">
        <v>0</v>
      </c>
      <c r="AP43" s="31">
        <v>0</v>
      </c>
      <c r="AQ43" s="31">
        <v>0</v>
      </c>
      <c r="AR43" s="31"/>
      <c r="AS43" s="31">
        <v>0</v>
      </c>
      <c r="AT43" s="31">
        <v>0</v>
      </c>
      <c r="AU43" s="31">
        <v>0</v>
      </c>
      <c r="AV43" s="31">
        <v>0</v>
      </c>
      <c r="AW43" s="71">
        <v>27</v>
      </c>
      <c r="AX43" s="67" t="s">
        <v>63</v>
      </c>
      <c r="AY43" s="45">
        <f>SUM(AZ43:BH43)</f>
        <v>2430.11</v>
      </c>
      <c r="AZ43" s="77">
        <v>0</v>
      </c>
      <c r="BA43" s="31">
        <v>196.84</v>
      </c>
      <c r="BB43" s="31">
        <v>422.11</v>
      </c>
      <c r="BC43" s="31">
        <v>282.38</v>
      </c>
      <c r="BD43" s="31">
        <v>459.05</v>
      </c>
      <c r="BE43" s="31">
        <v>335.84</v>
      </c>
      <c r="BF43" s="31">
        <v>125.88</v>
      </c>
      <c r="BG43" s="31">
        <v>257.58999999999997</v>
      </c>
      <c r="BH43" s="31">
        <v>350.42</v>
      </c>
      <c r="BI43" s="71">
        <v>27</v>
      </c>
      <c r="BJ43" s="67" t="s">
        <v>63</v>
      </c>
      <c r="BK43" s="45">
        <f>SUM(BL43:BT43)</f>
        <v>1600</v>
      </c>
      <c r="BL43" s="77">
        <v>0</v>
      </c>
      <c r="BM43" s="31">
        <v>508.96</v>
      </c>
      <c r="BN43" s="31">
        <v>1091.04</v>
      </c>
      <c r="BO43" s="31">
        <v>0</v>
      </c>
      <c r="BP43" s="31">
        <v>0</v>
      </c>
      <c r="BQ43" s="31">
        <v>0</v>
      </c>
      <c r="BR43" s="31">
        <v>0</v>
      </c>
      <c r="BS43" s="31">
        <v>0</v>
      </c>
      <c r="BT43" s="31">
        <v>0</v>
      </c>
      <c r="BU43" s="71">
        <v>27</v>
      </c>
      <c r="BV43" s="67" t="s">
        <v>63</v>
      </c>
      <c r="BW43" s="45">
        <f>SUM(BX43:CF43)</f>
        <v>15666.74</v>
      </c>
      <c r="BX43" s="77">
        <v>0</v>
      </c>
      <c r="BY43" s="31">
        <v>1269.01</v>
      </c>
      <c r="BZ43" s="31">
        <v>2721.31</v>
      </c>
      <c r="CA43" s="31">
        <v>1820.48</v>
      </c>
      <c r="CB43" s="31">
        <v>2959.45</v>
      </c>
      <c r="CC43" s="31">
        <v>2165.14</v>
      </c>
      <c r="CD43" s="31">
        <v>811.54</v>
      </c>
      <c r="CE43" s="31">
        <v>1660.67</v>
      </c>
      <c r="CF43" s="31">
        <v>2259.14</v>
      </c>
      <c r="CG43" s="71">
        <v>27</v>
      </c>
      <c r="CH43" s="67" t="s">
        <v>63</v>
      </c>
      <c r="CI43" s="45">
        <f>SUM(CJ43:CR43)</f>
        <v>5169.75</v>
      </c>
      <c r="CJ43" s="77">
        <v>0</v>
      </c>
      <c r="CK43" s="31">
        <v>418.75</v>
      </c>
      <c r="CL43" s="31">
        <v>897.99</v>
      </c>
      <c r="CM43" s="31">
        <v>600.72</v>
      </c>
      <c r="CN43" s="31">
        <v>976.57</v>
      </c>
      <c r="CO43" s="31">
        <v>714.46</v>
      </c>
      <c r="CP43" s="31">
        <v>267.79000000000002</v>
      </c>
      <c r="CQ43" s="31">
        <v>547.99</v>
      </c>
      <c r="CR43" s="31">
        <v>745.48</v>
      </c>
      <c r="CS43" s="71">
        <v>27</v>
      </c>
      <c r="CT43" s="67" t="s">
        <v>63</v>
      </c>
      <c r="CU43" s="45">
        <f>SUM(CV43:DD43)</f>
        <v>11945.679999999998</v>
      </c>
      <c r="CV43" s="77">
        <v>0</v>
      </c>
      <c r="CW43" s="31">
        <f>967.6</f>
        <v>967.6</v>
      </c>
      <c r="CX43" s="31">
        <f>2074.96</f>
        <v>2074.96</v>
      </c>
      <c r="CY43" s="31">
        <f>1388.09</f>
        <v>1388.09</v>
      </c>
      <c r="CZ43" s="31">
        <f>2256.54</f>
        <v>2256.54</v>
      </c>
      <c r="DA43" s="31">
        <f>1650.89</f>
        <v>1650.89</v>
      </c>
      <c r="DB43" s="31">
        <f>618.79</f>
        <v>618.79</v>
      </c>
      <c r="DC43" s="31">
        <f>1266.24</f>
        <v>1266.24</v>
      </c>
      <c r="DD43" s="31">
        <f>1722.57</f>
        <v>1722.57</v>
      </c>
    </row>
    <row r="44" spans="1:108" s="8" customFormat="1" ht="12">
      <c r="A44" s="78"/>
      <c r="B44" s="79" t="s">
        <v>21</v>
      </c>
      <c r="C44" s="80">
        <f>SUM(C17:C43)</f>
        <v>3377777.9194859997</v>
      </c>
      <c r="D44" s="80"/>
      <c r="E44" s="55"/>
      <c r="F44" s="55"/>
      <c r="G44" s="55"/>
      <c r="H44" s="56"/>
      <c r="I44" s="55"/>
      <c r="J44" s="55"/>
      <c r="K44" s="55"/>
      <c r="L44" s="55"/>
      <c r="M44" s="66"/>
      <c r="N44" s="67"/>
      <c r="O44" s="45">
        <f t="shared" si="73"/>
        <v>0</v>
      </c>
      <c r="P44" s="67"/>
      <c r="Q44" s="31">
        <v>0</v>
      </c>
      <c r="R44" s="31">
        <v>0</v>
      </c>
      <c r="S44" s="31">
        <v>0</v>
      </c>
      <c r="T44" s="31">
        <v>0</v>
      </c>
      <c r="U44" s="52"/>
      <c r="V44" s="52"/>
      <c r="W44" s="52"/>
      <c r="X44" s="52"/>
      <c r="Y44" s="78"/>
      <c r="Z44" s="67"/>
      <c r="AA44" s="45">
        <f t="shared" si="88"/>
        <v>0</v>
      </c>
      <c r="AB44" s="67"/>
      <c r="AC44" s="31">
        <v>0</v>
      </c>
      <c r="AD44" s="31">
        <v>0</v>
      </c>
      <c r="AE44" s="31">
        <v>0</v>
      </c>
      <c r="AF44" s="31"/>
      <c r="AG44" s="31"/>
      <c r="AH44" s="31"/>
      <c r="AI44" s="31"/>
      <c r="AJ44" s="31">
        <v>0</v>
      </c>
      <c r="AK44" s="78"/>
      <c r="AL44" s="67"/>
      <c r="AM44" s="45">
        <f t="shared" ref="AM44:AM48" si="96">AO44+AP44+AQ44+AV44+AN44</f>
        <v>0</v>
      </c>
      <c r="AN44" s="67"/>
      <c r="AO44" s="31">
        <v>0</v>
      </c>
      <c r="AP44" s="31">
        <v>0</v>
      </c>
      <c r="AQ44" s="31">
        <v>0</v>
      </c>
      <c r="AR44" s="31"/>
      <c r="AS44" s="31"/>
      <c r="AT44" s="31"/>
      <c r="AU44" s="31"/>
      <c r="AV44" s="31">
        <v>0</v>
      </c>
      <c r="AW44" s="78"/>
      <c r="AX44" s="67"/>
      <c r="AY44" s="45">
        <f t="shared" ref="AY44:AY46" si="97">BA44+BB44+BC44+BH44+AZ44</f>
        <v>0</v>
      </c>
      <c r="AZ44" s="67"/>
      <c r="BA44" s="31">
        <v>0</v>
      </c>
      <c r="BB44" s="31">
        <v>0</v>
      </c>
      <c r="BC44" s="31">
        <v>0</v>
      </c>
      <c r="BD44" s="31"/>
      <c r="BE44" s="31"/>
      <c r="BF44" s="31"/>
      <c r="BG44" s="31"/>
      <c r="BH44" s="31">
        <v>0</v>
      </c>
      <c r="BI44" s="78"/>
      <c r="BJ44" s="67"/>
      <c r="BK44" s="45">
        <f t="shared" ref="BK44:BK45" si="98">BM44+BN44+BO44+BT44+BL44</f>
        <v>0</v>
      </c>
      <c r="BL44" s="67"/>
      <c r="BM44" s="31">
        <v>0</v>
      </c>
      <c r="BN44" s="31">
        <v>0</v>
      </c>
      <c r="BO44" s="31">
        <v>0</v>
      </c>
      <c r="BP44" s="31"/>
      <c r="BQ44" s="31"/>
      <c r="BR44" s="31"/>
      <c r="BS44" s="31"/>
      <c r="BT44" s="31">
        <v>0</v>
      </c>
      <c r="BU44" s="78"/>
      <c r="BV44" s="67"/>
      <c r="BW44" s="45">
        <f t="shared" ref="BW44:BW45" si="99">BY44+BZ44+CA44+CF44+BX44</f>
        <v>0</v>
      </c>
      <c r="BX44" s="67"/>
      <c r="BY44" s="31">
        <v>0</v>
      </c>
      <c r="BZ44" s="31">
        <v>0</v>
      </c>
      <c r="CA44" s="31">
        <v>0</v>
      </c>
      <c r="CB44" s="31"/>
      <c r="CC44" s="31"/>
      <c r="CD44" s="31"/>
      <c r="CE44" s="31"/>
      <c r="CF44" s="31">
        <v>0</v>
      </c>
      <c r="CG44" s="78"/>
      <c r="CH44" s="67"/>
      <c r="CI44" s="45">
        <f t="shared" ref="CI44:CI45" si="100">CK44+CL44+CM44+CR44+CJ44</f>
        <v>0</v>
      </c>
      <c r="CJ44" s="67"/>
      <c r="CK44" s="31">
        <v>0</v>
      </c>
      <c r="CL44" s="31">
        <v>0</v>
      </c>
      <c r="CM44" s="31">
        <v>0</v>
      </c>
      <c r="CN44" s="31"/>
      <c r="CO44" s="31"/>
      <c r="CP44" s="31"/>
      <c r="CQ44" s="31"/>
      <c r="CR44" s="31">
        <v>0</v>
      </c>
      <c r="CS44" s="78"/>
      <c r="CT44" s="67"/>
      <c r="CU44" s="45">
        <f t="shared" ref="CU44:CU45" si="101">CW44+CX44+CY44+DD44+CV44</f>
        <v>0</v>
      </c>
      <c r="CV44" s="67"/>
      <c r="CW44" s="31">
        <v>0</v>
      </c>
      <c r="CX44" s="31">
        <v>0</v>
      </c>
      <c r="CY44" s="31">
        <v>0</v>
      </c>
      <c r="CZ44" s="31"/>
      <c r="DA44" s="31"/>
      <c r="DB44" s="31"/>
      <c r="DC44" s="31"/>
      <c r="DD44" s="31">
        <v>0</v>
      </c>
    </row>
    <row r="45" spans="1:108" s="8" customFormat="1" ht="12">
      <c r="A45" s="61"/>
      <c r="B45" s="62" t="s">
        <v>64</v>
      </c>
      <c r="C45" s="62"/>
      <c r="D45" s="64"/>
      <c r="E45" s="64"/>
      <c r="F45" s="64"/>
      <c r="G45" s="64"/>
      <c r="H45" s="65"/>
      <c r="I45" s="64"/>
      <c r="J45" s="64"/>
      <c r="K45" s="64"/>
      <c r="L45" s="64"/>
      <c r="M45" s="103"/>
      <c r="N45" s="67"/>
      <c r="O45" s="45">
        <f t="shared" si="73"/>
        <v>0</v>
      </c>
      <c r="P45" s="67"/>
      <c r="Q45" s="31">
        <v>0</v>
      </c>
      <c r="R45" s="31">
        <v>0</v>
      </c>
      <c r="S45" s="31">
        <v>0</v>
      </c>
      <c r="T45" s="31">
        <v>0</v>
      </c>
      <c r="U45" s="52"/>
      <c r="V45" s="52"/>
      <c r="W45" s="52"/>
      <c r="X45" s="52"/>
      <c r="Y45" s="102"/>
      <c r="Z45" s="67"/>
      <c r="AA45" s="45">
        <f t="shared" si="88"/>
        <v>0</v>
      </c>
      <c r="AB45" s="67"/>
      <c r="AC45" s="31">
        <v>0</v>
      </c>
      <c r="AD45" s="31">
        <v>0</v>
      </c>
      <c r="AE45" s="31">
        <v>0</v>
      </c>
      <c r="AF45" s="31"/>
      <c r="AG45" s="31"/>
      <c r="AH45" s="31"/>
      <c r="AI45" s="31"/>
      <c r="AJ45" s="31">
        <v>0</v>
      </c>
      <c r="AK45" s="102"/>
      <c r="AL45" s="67"/>
      <c r="AM45" s="45">
        <f t="shared" si="96"/>
        <v>0</v>
      </c>
      <c r="AN45" s="67"/>
      <c r="AO45" s="31">
        <v>0</v>
      </c>
      <c r="AP45" s="31">
        <v>0</v>
      </c>
      <c r="AQ45" s="31">
        <v>0</v>
      </c>
      <c r="AR45" s="31"/>
      <c r="AS45" s="31"/>
      <c r="AT45" s="31"/>
      <c r="AU45" s="31"/>
      <c r="AV45" s="31">
        <v>0</v>
      </c>
      <c r="AW45" s="102"/>
      <c r="AX45" s="67"/>
      <c r="AY45" s="45">
        <f t="shared" si="97"/>
        <v>0</v>
      </c>
      <c r="AZ45" s="67"/>
      <c r="BA45" s="31">
        <v>0</v>
      </c>
      <c r="BB45" s="31">
        <v>0</v>
      </c>
      <c r="BC45" s="31">
        <v>0</v>
      </c>
      <c r="BD45" s="31"/>
      <c r="BE45" s="31"/>
      <c r="BF45" s="31"/>
      <c r="BG45" s="31"/>
      <c r="BH45" s="31">
        <v>0</v>
      </c>
      <c r="BI45" s="102"/>
      <c r="BJ45" s="67"/>
      <c r="BK45" s="45">
        <f t="shared" si="98"/>
        <v>0</v>
      </c>
      <c r="BL45" s="67"/>
      <c r="BM45" s="31">
        <v>0</v>
      </c>
      <c r="BN45" s="31">
        <v>0</v>
      </c>
      <c r="BO45" s="31">
        <v>0</v>
      </c>
      <c r="BP45" s="31"/>
      <c r="BQ45" s="31"/>
      <c r="BR45" s="31"/>
      <c r="BS45" s="31"/>
      <c r="BT45" s="31">
        <v>0</v>
      </c>
      <c r="BU45" s="102"/>
      <c r="BV45" s="67"/>
      <c r="BW45" s="45">
        <f t="shared" si="99"/>
        <v>0</v>
      </c>
      <c r="BX45" s="67"/>
      <c r="BY45" s="31">
        <v>0</v>
      </c>
      <c r="BZ45" s="31">
        <v>0</v>
      </c>
      <c r="CA45" s="31">
        <v>0</v>
      </c>
      <c r="CB45" s="31"/>
      <c r="CC45" s="31"/>
      <c r="CD45" s="31"/>
      <c r="CE45" s="31"/>
      <c r="CF45" s="31">
        <v>0</v>
      </c>
      <c r="CG45" s="102"/>
      <c r="CH45" s="67"/>
      <c r="CI45" s="45">
        <f t="shared" si="100"/>
        <v>0</v>
      </c>
      <c r="CJ45" s="67"/>
      <c r="CK45" s="31">
        <v>0</v>
      </c>
      <c r="CL45" s="31">
        <v>0</v>
      </c>
      <c r="CM45" s="31">
        <v>0</v>
      </c>
      <c r="CN45" s="31"/>
      <c r="CO45" s="31"/>
      <c r="CP45" s="31"/>
      <c r="CQ45" s="31"/>
      <c r="CR45" s="31">
        <v>0</v>
      </c>
      <c r="CS45" s="102"/>
      <c r="CT45" s="67"/>
      <c r="CU45" s="45">
        <f t="shared" si="101"/>
        <v>0</v>
      </c>
      <c r="CV45" s="67"/>
      <c r="CW45" s="31">
        <v>0</v>
      </c>
      <c r="CX45" s="31">
        <v>0</v>
      </c>
      <c r="CY45" s="31">
        <v>0</v>
      </c>
      <c r="CZ45" s="31"/>
      <c r="DA45" s="31"/>
      <c r="DB45" s="31"/>
      <c r="DC45" s="31"/>
      <c r="DD45" s="31">
        <v>0</v>
      </c>
    </row>
    <row r="46" spans="1:108" s="38" customFormat="1" ht="10.5" customHeight="1">
      <c r="A46" s="71">
        <v>28</v>
      </c>
      <c r="B46" s="73" t="s">
        <v>86</v>
      </c>
      <c r="C46" s="45">
        <f>SUM(E46:L46)</f>
        <v>179783</v>
      </c>
      <c r="D46" s="31"/>
      <c r="E46" s="31">
        <f>Q46+AC46</f>
        <v>0</v>
      </c>
      <c r="F46" s="31">
        <f t="shared" ref="F46:L46" si="102">R46+AD46</f>
        <v>0</v>
      </c>
      <c r="G46" s="31">
        <f>BO46+CM46+CY46</f>
        <v>179783</v>
      </c>
      <c r="H46" s="31">
        <f t="shared" si="102"/>
        <v>0</v>
      </c>
      <c r="I46" s="31">
        <f t="shared" si="102"/>
        <v>0</v>
      </c>
      <c r="J46" s="31">
        <f t="shared" si="102"/>
        <v>0</v>
      </c>
      <c r="K46" s="31">
        <f t="shared" si="102"/>
        <v>0</v>
      </c>
      <c r="L46" s="31">
        <f t="shared" si="102"/>
        <v>0</v>
      </c>
      <c r="M46" s="72">
        <v>28</v>
      </c>
      <c r="N46" s="73" t="s">
        <v>65</v>
      </c>
      <c r="O46" s="45">
        <f t="shared" si="73"/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52">
        <v>0</v>
      </c>
      <c r="V46" s="52">
        <v>0</v>
      </c>
      <c r="W46" s="52">
        <v>0</v>
      </c>
      <c r="X46" s="52">
        <v>0</v>
      </c>
      <c r="Y46" s="71">
        <v>28</v>
      </c>
      <c r="Z46" s="73" t="s">
        <v>65</v>
      </c>
      <c r="AA46" s="45">
        <f t="shared" si="88"/>
        <v>0</v>
      </c>
      <c r="AB46" s="31">
        <v>0</v>
      </c>
      <c r="AC46" s="31">
        <v>0</v>
      </c>
      <c r="AD46" s="31">
        <v>0</v>
      </c>
      <c r="AE46" s="31">
        <v>0</v>
      </c>
      <c r="AF46" s="31"/>
      <c r="AG46" s="31"/>
      <c r="AH46" s="31"/>
      <c r="AI46" s="31"/>
      <c r="AJ46" s="31">
        <v>0</v>
      </c>
      <c r="AK46" s="71">
        <v>28</v>
      </c>
      <c r="AL46" s="73" t="s">
        <v>65</v>
      </c>
      <c r="AM46" s="45">
        <f t="shared" si="96"/>
        <v>0</v>
      </c>
      <c r="AN46" s="31">
        <v>0</v>
      </c>
      <c r="AO46" s="31">
        <v>0</v>
      </c>
      <c r="AP46" s="31">
        <v>0</v>
      </c>
      <c r="AQ46" s="31">
        <v>0</v>
      </c>
      <c r="AR46" s="31"/>
      <c r="AS46" s="31"/>
      <c r="AT46" s="31"/>
      <c r="AU46" s="31"/>
      <c r="AV46" s="31">
        <v>0</v>
      </c>
      <c r="AW46" s="71">
        <v>28</v>
      </c>
      <c r="AX46" s="73" t="s">
        <v>65</v>
      </c>
      <c r="AY46" s="45">
        <f t="shared" si="97"/>
        <v>0</v>
      </c>
      <c r="AZ46" s="31">
        <v>0</v>
      </c>
      <c r="BA46" s="31">
        <v>0</v>
      </c>
      <c r="BB46" s="31">
        <v>0</v>
      </c>
      <c r="BC46" s="31">
        <v>0</v>
      </c>
      <c r="BD46" s="31"/>
      <c r="BE46" s="31"/>
      <c r="BF46" s="31"/>
      <c r="BG46" s="31"/>
      <c r="BH46" s="31">
        <v>0</v>
      </c>
      <c r="BI46" s="71">
        <v>28</v>
      </c>
      <c r="BJ46" s="73" t="s">
        <v>65</v>
      </c>
      <c r="BK46" s="45">
        <f>SUM(BM46:BT46)</f>
        <v>62480</v>
      </c>
      <c r="BL46" s="31">
        <v>0</v>
      </c>
      <c r="BM46" s="31">
        <v>0</v>
      </c>
      <c r="BN46" s="31">
        <v>0</v>
      </c>
      <c r="BO46" s="31">
        <v>62480</v>
      </c>
      <c r="BP46" s="31">
        <v>0</v>
      </c>
      <c r="BQ46" s="31">
        <v>0</v>
      </c>
      <c r="BR46" s="31">
        <v>0</v>
      </c>
      <c r="BS46" s="31">
        <v>0</v>
      </c>
      <c r="BT46" s="31">
        <v>0</v>
      </c>
      <c r="BU46" s="71">
        <v>28</v>
      </c>
      <c r="BV46" s="73" t="s">
        <v>65</v>
      </c>
      <c r="BW46" s="45">
        <f>SUM(BY46:CF46)</f>
        <v>0</v>
      </c>
      <c r="BX46" s="31">
        <v>0</v>
      </c>
      <c r="BY46" s="31">
        <v>0</v>
      </c>
      <c r="BZ46" s="31">
        <v>0</v>
      </c>
      <c r="CA46" s="31">
        <v>0</v>
      </c>
      <c r="CB46" s="31">
        <v>0</v>
      </c>
      <c r="CC46" s="31">
        <v>0</v>
      </c>
      <c r="CD46" s="31">
        <v>0</v>
      </c>
      <c r="CE46" s="31">
        <v>0</v>
      </c>
      <c r="CF46" s="31">
        <v>0</v>
      </c>
      <c r="CG46" s="71">
        <v>28</v>
      </c>
      <c r="CH46" s="73" t="s">
        <v>86</v>
      </c>
      <c r="CI46" s="45">
        <f>SUM(CK46:CR46)</f>
        <v>93720</v>
      </c>
      <c r="CJ46" s="31">
        <v>0</v>
      </c>
      <c r="CK46" s="31">
        <v>0</v>
      </c>
      <c r="CL46" s="31">
        <v>0</v>
      </c>
      <c r="CM46" s="31">
        <v>93720</v>
      </c>
      <c r="CN46" s="31">
        <v>0</v>
      </c>
      <c r="CO46" s="31">
        <v>0</v>
      </c>
      <c r="CP46" s="31">
        <v>0</v>
      </c>
      <c r="CQ46" s="31">
        <v>0</v>
      </c>
      <c r="CR46" s="31">
        <v>0</v>
      </c>
      <c r="CS46" s="71">
        <v>28</v>
      </c>
      <c r="CT46" s="73" t="s">
        <v>86</v>
      </c>
      <c r="CU46" s="45">
        <f>SUM(CW46:DD46)</f>
        <v>23583</v>
      </c>
      <c r="CV46" s="31">
        <v>0</v>
      </c>
      <c r="CW46" s="31">
        <v>0</v>
      </c>
      <c r="CX46" s="31">
        <v>0</v>
      </c>
      <c r="CY46" s="31">
        <v>23583</v>
      </c>
      <c r="CZ46" s="31">
        <v>0</v>
      </c>
      <c r="DA46" s="31">
        <v>0</v>
      </c>
      <c r="DB46" s="31">
        <v>0</v>
      </c>
      <c r="DC46" s="31">
        <v>0</v>
      </c>
      <c r="DD46" s="31">
        <v>0</v>
      </c>
    </row>
    <row r="47" spans="1:108" s="38" customFormat="1" ht="10.5" customHeight="1">
      <c r="A47" s="71">
        <v>29</v>
      </c>
      <c r="B47" s="73" t="s">
        <v>66</v>
      </c>
      <c r="C47" s="45">
        <f>SUM(E47:L47)</f>
        <v>8290</v>
      </c>
      <c r="D47" s="31"/>
      <c r="E47" s="31">
        <f>Q47+AC47+AO47+BA47+BM47+BY47+CK47+CW47</f>
        <v>0</v>
      </c>
      <c r="F47" s="31">
        <f t="shared" ref="F47:L47" si="103">R47+AD47+AP47+BB47+BN47+BZ47+CL47+CX47</f>
        <v>0</v>
      </c>
      <c r="G47" s="31">
        <f t="shared" si="103"/>
        <v>0</v>
      </c>
      <c r="H47" s="31">
        <f t="shared" si="103"/>
        <v>8290</v>
      </c>
      <c r="I47" s="31">
        <f t="shared" si="103"/>
        <v>0</v>
      </c>
      <c r="J47" s="31">
        <f t="shared" si="103"/>
        <v>0</v>
      </c>
      <c r="K47" s="31">
        <f t="shared" si="103"/>
        <v>0</v>
      </c>
      <c r="L47" s="31">
        <f t="shared" si="103"/>
        <v>0</v>
      </c>
      <c r="M47" s="72">
        <v>29</v>
      </c>
      <c r="N47" s="73" t="s">
        <v>66</v>
      </c>
      <c r="O47" s="45">
        <f t="shared" si="73"/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52">
        <v>0</v>
      </c>
      <c r="V47" s="52">
        <v>0</v>
      </c>
      <c r="W47" s="52">
        <v>0</v>
      </c>
      <c r="X47" s="52">
        <v>0</v>
      </c>
      <c r="Y47" s="71">
        <v>29</v>
      </c>
      <c r="Z47" s="73" t="s">
        <v>66</v>
      </c>
      <c r="AA47" s="45">
        <f t="shared" si="88"/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71">
        <v>29</v>
      </c>
      <c r="AL47" s="73" t="s">
        <v>66</v>
      </c>
      <c r="AM47" s="45">
        <f>SUM(AO47:AV47)</f>
        <v>8290</v>
      </c>
      <c r="AN47" s="31">
        <v>0</v>
      </c>
      <c r="AO47" s="31">
        <v>0</v>
      </c>
      <c r="AP47" s="31">
        <v>0</v>
      </c>
      <c r="AQ47" s="31">
        <v>0</v>
      </c>
      <c r="AR47" s="31">
        <v>8290</v>
      </c>
      <c r="AS47" s="31">
        <v>0</v>
      </c>
      <c r="AT47" s="31">
        <v>0</v>
      </c>
      <c r="AU47" s="31">
        <v>0</v>
      </c>
      <c r="AV47" s="31">
        <v>0</v>
      </c>
      <c r="AW47" s="71">
        <v>29</v>
      </c>
      <c r="AX47" s="73" t="s">
        <v>66</v>
      </c>
      <c r="AY47" s="45">
        <f>SUM(BA47:BH47)</f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0</v>
      </c>
      <c r="BF47" s="31">
        <v>0</v>
      </c>
      <c r="BG47" s="31">
        <v>0</v>
      </c>
      <c r="BH47" s="31">
        <v>0</v>
      </c>
      <c r="BI47" s="71">
        <v>29</v>
      </c>
      <c r="BJ47" s="73" t="s">
        <v>66</v>
      </c>
      <c r="BK47" s="45">
        <f>SUM(BM47:BT47)</f>
        <v>0</v>
      </c>
      <c r="BL47" s="31">
        <v>0</v>
      </c>
      <c r="BM47" s="31">
        <v>0</v>
      </c>
      <c r="BN47" s="31">
        <v>0</v>
      </c>
      <c r="BO47" s="31">
        <v>0</v>
      </c>
      <c r="BP47" s="31">
        <v>0</v>
      </c>
      <c r="BQ47" s="31">
        <v>0</v>
      </c>
      <c r="BR47" s="31">
        <v>0</v>
      </c>
      <c r="BS47" s="31">
        <v>0</v>
      </c>
      <c r="BT47" s="31">
        <v>0</v>
      </c>
      <c r="BU47" s="71">
        <v>29</v>
      </c>
      <c r="BV47" s="73" t="s">
        <v>66</v>
      </c>
      <c r="BW47" s="45">
        <f>SUM(BY47:CF47)</f>
        <v>0</v>
      </c>
      <c r="BX47" s="31">
        <v>0</v>
      </c>
      <c r="BY47" s="31">
        <v>0</v>
      </c>
      <c r="BZ47" s="31">
        <v>0</v>
      </c>
      <c r="CA47" s="31">
        <v>0</v>
      </c>
      <c r="CB47" s="31">
        <v>0</v>
      </c>
      <c r="CC47" s="31">
        <v>0</v>
      </c>
      <c r="CD47" s="31">
        <v>0</v>
      </c>
      <c r="CE47" s="31">
        <v>0</v>
      </c>
      <c r="CF47" s="31">
        <v>0</v>
      </c>
      <c r="CG47" s="71">
        <v>29</v>
      </c>
      <c r="CH47" s="73" t="s">
        <v>66</v>
      </c>
      <c r="CI47" s="45">
        <f>SUM(CK47:CR47)</f>
        <v>0</v>
      </c>
      <c r="CJ47" s="31">
        <v>0</v>
      </c>
      <c r="CK47" s="31">
        <v>0</v>
      </c>
      <c r="CL47" s="31">
        <v>0</v>
      </c>
      <c r="CM47" s="31">
        <v>0</v>
      </c>
      <c r="CN47" s="31">
        <v>0</v>
      </c>
      <c r="CO47" s="31">
        <v>0</v>
      </c>
      <c r="CP47" s="31">
        <v>0</v>
      </c>
      <c r="CQ47" s="31">
        <v>0</v>
      </c>
      <c r="CR47" s="31">
        <v>0</v>
      </c>
      <c r="CS47" s="71">
        <v>29</v>
      </c>
      <c r="CT47" s="73" t="s">
        <v>66</v>
      </c>
      <c r="CU47" s="45">
        <f>SUM(CW47:DD47)</f>
        <v>0</v>
      </c>
      <c r="CV47" s="31">
        <v>0</v>
      </c>
      <c r="CW47" s="31">
        <v>0</v>
      </c>
      <c r="CX47" s="31">
        <v>0</v>
      </c>
      <c r="CY47" s="31">
        <v>0</v>
      </c>
      <c r="CZ47" s="31">
        <v>0</v>
      </c>
      <c r="DA47" s="31">
        <v>0</v>
      </c>
      <c r="DB47" s="31">
        <v>0</v>
      </c>
      <c r="DC47" s="31">
        <v>0</v>
      </c>
      <c r="DD47" s="31">
        <v>0</v>
      </c>
    </row>
    <row r="48" spans="1:108" s="8" customFormat="1" ht="10.5" customHeight="1">
      <c r="A48" s="71">
        <v>30</v>
      </c>
      <c r="B48" s="73" t="s">
        <v>67</v>
      </c>
      <c r="C48" s="45">
        <f>SUM(E48:L48)</f>
        <v>0</v>
      </c>
      <c r="D48" s="31"/>
      <c r="E48" s="31">
        <f>Q48+AC48+AO48+BA48+BM48+BY47+CK47+CW47</f>
        <v>0</v>
      </c>
      <c r="F48" s="31">
        <f t="shared" ref="F48:L48" si="104">R48+AD48+AP48+BB48+BN48+BZ47+CL47+CX47</f>
        <v>0</v>
      </c>
      <c r="G48" s="31">
        <f t="shared" si="104"/>
        <v>0</v>
      </c>
      <c r="H48" s="31">
        <f t="shared" si="104"/>
        <v>0</v>
      </c>
      <c r="I48" s="31">
        <f t="shared" si="104"/>
        <v>0</v>
      </c>
      <c r="J48" s="31">
        <f t="shared" si="104"/>
        <v>0</v>
      </c>
      <c r="K48" s="31">
        <f t="shared" si="104"/>
        <v>0</v>
      </c>
      <c r="L48" s="31">
        <f t="shared" si="104"/>
        <v>0</v>
      </c>
      <c r="M48" s="72">
        <v>30</v>
      </c>
      <c r="N48" s="73" t="s">
        <v>67</v>
      </c>
      <c r="O48" s="45">
        <f t="shared" si="73"/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52">
        <v>0</v>
      </c>
      <c r="V48" s="52">
        <v>0</v>
      </c>
      <c r="W48" s="52">
        <v>0</v>
      </c>
      <c r="X48" s="52">
        <v>0</v>
      </c>
      <c r="Y48" s="71">
        <v>30</v>
      </c>
      <c r="Z48" s="73" t="s">
        <v>67</v>
      </c>
      <c r="AA48" s="45">
        <f t="shared" si="88"/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71">
        <v>30</v>
      </c>
      <c r="AL48" s="73" t="s">
        <v>67</v>
      </c>
      <c r="AM48" s="45">
        <f t="shared" si="96"/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71">
        <v>30</v>
      </c>
      <c r="AX48" s="73" t="s">
        <v>67</v>
      </c>
      <c r="AY48" s="45">
        <f t="shared" ref="AY48" si="105">BA48+BB48+BC48+BH48+AZ48</f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71">
        <v>30</v>
      </c>
      <c r="BJ48" s="73" t="s">
        <v>67</v>
      </c>
      <c r="BK48" s="45">
        <f t="shared" ref="BK48" si="106">BM48+BN48+BO48+BT48+BL48</f>
        <v>0</v>
      </c>
      <c r="BL48" s="31">
        <v>0</v>
      </c>
      <c r="BM48" s="31">
        <v>0</v>
      </c>
      <c r="BN48" s="31">
        <v>0</v>
      </c>
      <c r="BO48" s="31">
        <v>0</v>
      </c>
      <c r="BP48" s="31">
        <v>0</v>
      </c>
      <c r="BQ48" s="31">
        <v>0</v>
      </c>
      <c r="BR48" s="31">
        <v>0</v>
      </c>
      <c r="BS48" s="31">
        <v>0</v>
      </c>
      <c r="BT48" s="31">
        <v>0</v>
      </c>
      <c r="BU48" s="71">
        <v>30</v>
      </c>
      <c r="BV48" s="73" t="s">
        <v>67</v>
      </c>
      <c r="BW48" s="45">
        <f t="shared" ref="BW48" si="107">BY48+BZ48+CA48+CF48+BX48</f>
        <v>0</v>
      </c>
      <c r="BX48" s="31">
        <v>0</v>
      </c>
      <c r="BY48" s="31">
        <v>0</v>
      </c>
      <c r="BZ48" s="31">
        <v>0</v>
      </c>
      <c r="CA48" s="31">
        <v>0</v>
      </c>
      <c r="CB48" s="31">
        <v>0</v>
      </c>
      <c r="CC48" s="31">
        <v>0</v>
      </c>
      <c r="CD48" s="31">
        <v>0</v>
      </c>
      <c r="CE48" s="31">
        <v>0</v>
      </c>
      <c r="CF48" s="31">
        <v>0</v>
      </c>
      <c r="CG48" s="71">
        <v>30</v>
      </c>
      <c r="CH48" s="73" t="s">
        <v>67</v>
      </c>
      <c r="CI48" s="45">
        <f t="shared" ref="CI48" si="108">CK48+CL48+CM48+CR48+CJ48</f>
        <v>0</v>
      </c>
      <c r="CJ48" s="31">
        <v>0</v>
      </c>
      <c r="CK48" s="31">
        <v>0</v>
      </c>
      <c r="CL48" s="31">
        <v>0</v>
      </c>
      <c r="CM48" s="31">
        <v>0</v>
      </c>
      <c r="CN48" s="31">
        <v>0</v>
      </c>
      <c r="CO48" s="31">
        <v>0</v>
      </c>
      <c r="CP48" s="31">
        <v>0</v>
      </c>
      <c r="CQ48" s="31">
        <v>0</v>
      </c>
      <c r="CR48" s="31">
        <v>0</v>
      </c>
      <c r="CS48" s="71">
        <v>30</v>
      </c>
      <c r="CT48" s="73" t="s">
        <v>67</v>
      </c>
      <c r="CU48" s="45">
        <f t="shared" ref="CU48" si="109">CW48+CX48+CY48+DD48+CV48</f>
        <v>0</v>
      </c>
      <c r="CV48" s="31">
        <v>0</v>
      </c>
      <c r="CW48" s="31">
        <v>0</v>
      </c>
      <c r="CX48" s="31">
        <v>0</v>
      </c>
      <c r="CY48" s="31">
        <v>0</v>
      </c>
      <c r="CZ48" s="31">
        <v>0</v>
      </c>
      <c r="DA48" s="31">
        <v>0</v>
      </c>
      <c r="DB48" s="31">
        <v>0</v>
      </c>
      <c r="DC48" s="31">
        <v>0</v>
      </c>
      <c r="DD48" s="31">
        <v>0</v>
      </c>
    </row>
    <row r="49" spans="1:157" ht="10.5" customHeight="1">
      <c r="A49" s="82">
        <v>31</v>
      </c>
      <c r="B49" s="67" t="s">
        <v>68</v>
      </c>
      <c r="C49" s="45">
        <f>SUM(D49:L49)</f>
        <v>72198.399999999994</v>
      </c>
      <c r="D49" s="76"/>
      <c r="E49" s="31">
        <f>Q49+AC49+AO49+BA49+BM49+BY49+CK49+CW49</f>
        <v>5848.072799999999</v>
      </c>
      <c r="F49" s="31">
        <f t="shared" ref="F49:L49" si="110">R49+AD49+AP49+BB49+BN49+BZ49+CL49+CX49</f>
        <v>12540.866559999999</v>
      </c>
      <c r="G49" s="31">
        <f t="shared" si="110"/>
        <v>8389.4505599999975</v>
      </c>
      <c r="H49" s="31">
        <f t="shared" si="110"/>
        <v>13638.268319999999</v>
      </c>
      <c r="I49" s="31">
        <f t="shared" si="110"/>
        <v>9977.8241600000001</v>
      </c>
      <c r="J49" s="31">
        <f t="shared" si="110"/>
        <v>3739.867839999999</v>
      </c>
      <c r="K49" s="31">
        <f t="shared" si="110"/>
        <v>7653.0328000000009</v>
      </c>
      <c r="L49" s="31">
        <f t="shared" si="110"/>
        <v>10411.016959999999</v>
      </c>
      <c r="M49" s="83">
        <v>31</v>
      </c>
      <c r="N49" s="67" t="s">
        <v>68</v>
      </c>
      <c r="O49" s="45">
        <f>SUM(P49:X49)</f>
        <v>9024.7999999999993</v>
      </c>
      <c r="P49" s="76"/>
      <c r="Q49" s="31">
        <v>731.01</v>
      </c>
      <c r="R49" s="31">
        <v>1567.61</v>
      </c>
      <c r="S49" s="31">
        <v>1048.68</v>
      </c>
      <c r="T49" s="31">
        <v>1704.78</v>
      </c>
      <c r="U49" s="52">
        <v>1247.23</v>
      </c>
      <c r="V49" s="52">
        <v>467.48</v>
      </c>
      <c r="W49" s="52">
        <v>956.63</v>
      </c>
      <c r="X49" s="52">
        <v>1301.3800000000001</v>
      </c>
      <c r="Y49" s="84">
        <v>31</v>
      </c>
      <c r="Z49" s="67" t="s">
        <v>68</v>
      </c>
      <c r="AA49" s="45">
        <f>SUM(AB49:AJ49)</f>
        <v>9024.7999999999993</v>
      </c>
      <c r="AB49" s="76"/>
      <c r="AC49" s="31">
        <v>731.01</v>
      </c>
      <c r="AD49" s="31">
        <v>1567.61</v>
      </c>
      <c r="AE49" s="31">
        <v>1048.68</v>
      </c>
      <c r="AF49" s="31">
        <v>1704.78</v>
      </c>
      <c r="AG49" s="52">
        <v>1247.23</v>
      </c>
      <c r="AH49" s="52">
        <v>467.48</v>
      </c>
      <c r="AI49" s="52">
        <v>956.63</v>
      </c>
      <c r="AJ49" s="52">
        <v>1301.3800000000001</v>
      </c>
      <c r="AK49" s="84">
        <v>31</v>
      </c>
      <c r="AL49" s="67" t="s">
        <v>68</v>
      </c>
      <c r="AM49" s="45">
        <f>SUM(AN49:AV49)</f>
        <v>9024.7999999999993</v>
      </c>
      <c r="AN49" s="76"/>
      <c r="AO49" s="31">
        <f>[1]Разное!$G$19</f>
        <v>731.00879999999995</v>
      </c>
      <c r="AP49" s="31">
        <f>[1]Разное!$G$20</f>
        <v>1567.6077599999999</v>
      </c>
      <c r="AQ49" s="31">
        <f>[1]Разное!$G$21</f>
        <v>1048.6817599999997</v>
      </c>
      <c r="AR49" s="31">
        <f>[1]Разное!$G$22</f>
        <v>1704.7847199999999</v>
      </c>
      <c r="AS49" s="52">
        <f>[1]Разное!$G$23</f>
        <v>1247.2273599999999</v>
      </c>
      <c r="AT49" s="52">
        <f>[1]Разное!$G$24</f>
        <v>467.4846399999999</v>
      </c>
      <c r="AU49" s="52">
        <f>[1]Разное!$G$25</f>
        <v>956.62879999999996</v>
      </c>
      <c r="AV49" s="52">
        <f>[1]Разное!$G$26</f>
        <v>1301.37616</v>
      </c>
      <c r="AW49" s="84">
        <v>31</v>
      </c>
      <c r="AX49" s="67" t="s">
        <v>68</v>
      </c>
      <c r="AY49" s="45">
        <f>SUM(AZ49:BH49)</f>
        <v>9024.7999999999993</v>
      </c>
      <c r="AZ49" s="76"/>
      <c r="BA49" s="31">
        <f>[1]Разное!$G$19</f>
        <v>731.00879999999995</v>
      </c>
      <c r="BB49" s="31">
        <f>[1]Разное!$G$20</f>
        <v>1567.6077599999999</v>
      </c>
      <c r="BC49" s="31">
        <f>[1]Разное!$G$21</f>
        <v>1048.6817599999997</v>
      </c>
      <c r="BD49" s="31">
        <f>[1]Разное!$G$22</f>
        <v>1704.7847199999999</v>
      </c>
      <c r="BE49" s="52">
        <f>[1]Разное!$G$23</f>
        <v>1247.2273599999999</v>
      </c>
      <c r="BF49" s="52">
        <f>[1]Разное!$G$24</f>
        <v>467.4846399999999</v>
      </c>
      <c r="BG49" s="52">
        <f>[1]Разное!$G$25</f>
        <v>956.62879999999996</v>
      </c>
      <c r="BH49" s="52">
        <f>[1]Разное!$G$26</f>
        <v>1301.37616</v>
      </c>
      <c r="BI49" s="84">
        <v>31</v>
      </c>
      <c r="BJ49" s="67" t="s">
        <v>68</v>
      </c>
      <c r="BK49" s="45">
        <f>SUM(BL49:BT49)</f>
        <v>9024.7999999999993</v>
      </c>
      <c r="BL49" s="76"/>
      <c r="BM49" s="31">
        <f>[1]Разное!$G$19</f>
        <v>731.00879999999995</v>
      </c>
      <c r="BN49" s="31">
        <f>[1]Разное!$G$20</f>
        <v>1567.6077599999999</v>
      </c>
      <c r="BO49" s="31">
        <f>[1]Разное!$G$21</f>
        <v>1048.6817599999997</v>
      </c>
      <c r="BP49" s="31">
        <f>[1]Разное!$G$22</f>
        <v>1704.7847199999999</v>
      </c>
      <c r="BQ49" s="52">
        <f>[1]Разное!$G$23</f>
        <v>1247.2273599999999</v>
      </c>
      <c r="BR49" s="52">
        <f>[1]Разное!$G$24</f>
        <v>467.4846399999999</v>
      </c>
      <c r="BS49" s="52">
        <f>[1]Разное!$G$25</f>
        <v>956.62879999999996</v>
      </c>
      <c r="BT49" s="52">
        <f>[1]Разное!$G$26</f>
        <v>1301.37616</v>
      </c>
      <c r="BU49" s="84">
        <v>31</v>
      </c>
      <c r="BV49" s="67" t="s">
        <v>68</v>
      </c>
      <c r="BW49" s="45">
        <f>SUM(BX49:CF49)</f>
        <v>9024.7999999999993</v>
      </c>
      <c r="BX49" s="76"/>
      <c r="BY49" s="31">
        <f>[1]Разное!$G$19</f>
        <v>731.00879999999995</v>
      </c>
      <c r="BZ49" s="31">
        <f>[1]Разное!$G$20</f>
        <v>1567.6077599999999</v>
      </c>
      <c r="CA49" s="31">
        <f>[1]Разное!$G$21</f>
        <v>1048.6817599999997</v>
      </c>
      <c r="CB49" s="31">
        <f>[1]Разное!$G$22</f>
        <v>1704.7847199999999</v>
      </c>
      <c r="CC49" s="52">
        <f>[1]Разное!$G$23</f>
        <v>1247.2273599999999</v>
      </c>
      <c r="CD49" s="52">
        <f>[1]Разное!$G$24</f>
        <v>467.4846399999999</v>
      </c>
      <c r="CE49" s="52">
        <f>[1]Разное!$G$25</f>
        <v>956.62879999999996</v>
      </c>
      <c r="CF49" s="52">
        <f>[1]Разное!$G$26</f>
        <v>1301.37616</v>
      </c>
      <c r="CG49" s="84">
        <v>31</v>
      </c>
      <c r="CH49" s="67" t="s">
        <v>68</v>
      </c>
      <c r="CI49" s="45">
        <f>SUM(CJ49:CR49)</f>
        <v>9024.7999999999993</v>
      </c>
      <c r="CJ49" s="76"/>
      <c r="CK49" s="31">
        <f>[1]Разное!$G$19</f>
        <v>731.00879999999995</v>
      </c>
      <c r="CL49" s="31">
        <f>[1]Разное!$G$20</f>
        <v>1567.6077599999999</v>
      </c>
      <c r="CM49" s="31">
        <f>[1]Разное!$G$21</f>
        <v>1048.6817599999997</v>
      </c>
      <c r="CN49" s="31">
        <f>[1]Разное!$G$22</f>
        <v>1704.7847199999999</v>
      </c>
      <c r="CO49" s="52">
        <f>[1]Разное!$G$23</f>
        <v>1247.2273599999999</v>
      </c>
      <c r="CP49" s="52">
        <f>[1]Разное!$G$24</f>
        <v>467.4846399999999</v>
      </c>
      <c r="CQ49" s="52">
        <f>[1]Разное!$G$25</f>
        <v>956.62879999999996</v>
      </c>
      <c r="CR49" s="52">
        <f>[1]Разное!$G$26</f>
        <v>1301.37616</v>
      </c>
      <c r="CS49" s="84">
        <v>31</v>
      </c>
      <c r="CT49" s="67" t="s">
        <v>68</v>
      </c>
      <c r="CU49" s="45">
        <f>SUM(CV49:DD49)</f>
        <v>9024.7999999999993</v>
      </c>
      <c r="CV49" s="76"/>
      <c r="CW49" s="31">
        <f>[1]Разное!$G$19</f>
        <v>731.00879999999995</v>
      </c>
      <c r="CX49" s="31">
        <f>[1]Разное!$G$20</f>
        <v>1567.6077599999999</v>
      </c>
      <c r="CY49" s="31">
        <f>[1]Разное!$G$21</f>
        <v>1048.6817599999997</v>
      </c>
      <c r="CZ49" s="31">
        <f>[1]Разное!$G$22</f>
        <v>1704.7847199999999</v>
      </c>
      <c r="DA49" s="52">
        <f>[1]Разное!$G$23</f>
        <v>1247.2273599999999</v>
      </c>
      <c r="DB49" s="52">
        <f>[1]Разное!$G$24</f>
        <v>467.4846399999999</v>
      </c>
      <c r="DC49" s="52">
        <f>[1]Разное!$G$25</f>
        <v>956.62879999999996</v>
      </c>
      <c r="DD49" s="52">
        <f>[1]Разное!$G$26</f>
        <v>1301.37616</v>
      </c>
    </row>
    <row r="50" spans="1:157" ht="10.5" customHeight="1">
      <c r="A50" s="82">
        <v>32</v>
      </c>
      <c r="B50" s="67" t="s">
        <v>69</v>
      </c>
      <c r="C50" s="45">
        <f>E50+F50+G50+H50+D50</f>
        <v>0</v>
      </c>
      <c r="D50" s="76"/>
      <c r="E50" s="31">
        <f>Q50+AC50+AO50</f>
        <v>0</v>
      </c>
      <c r="F50" s="31">
        <f t="shared" ref="F50:L50" si="111">R50+AD50+AP50</f>
        <v>0</v>
      </c>
      <c r="G50" s="31">
        <f t="shared" si="111"/>
        <v>0</v>
      </c>
      <c r="H50" s="31">
        <f t="shared" si="111"/>
        <v>0</v>
      </c>
      <c r="I50" s="31">
        <f t="shared" si="111"/>
        <v>0</v>
      </c>
      <c r="J50" s="31">
        <f t="shared" si="111"/>
        <v>0</v>
      </c>
      <c r="K50" s="31">
        <f t="shared" si="111"/>
        <v>0</v>
      </c>
      <c r="L50" s="31">
        <f t="shared" si="111"/>
        <v>0</v>
      </c>
      <c r="M50" s="83">
        <v>32</v>
      </c>
      <c r="N50" s="67" t="s">
        <v>69</v>
      </c>
      <c r="O50" s="45">
        <f t="shared" si="73"/>
        <v>0</v>
      </c>
      <c r="P50" s="77">
        <v>0</v>
      </c>
      <c r="Q50" s="31">
        <v>0</v>
      </c>
      <c r="R50" s="31">
        <v>0</v>
      </c>
      <c r="S50" s="31">
        <v>0</v>
      </c>
      <c r="T50" s="31">
        <v>0</v>
      </c>
      <c r="U50" s="52">
        <v>0</v>
      </c>
      <c r="V50" s="52">
        <v>0</v>
      </c>
      <c r="W50" s="52">
        <v>0</v>
      </c>
      <c r="X50" s="52">
        <v>0</v>
      </c>
      <c r="Y50" s="84">
        <v>32</v>
      </c>
      <c r="Z50" s="67" t="s">
        <v>69</v>
      </c>
      <c r="AA50" s="45">
        <f t="shared" si="88"/>
        <v>0</v>
      </c>
      <c r="AB50" s="85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31">
        <v>0</v>
      </c>
      <c r="AJ50" s="31">
        <v>0</v>
      </c>
      <c r="AK50" s="84">
        <v>32</v>
      </c>
      <c r="AL50" s="67" t="s">
        <v>69</v>
      </c>
      <c r="AM50" s="45">
        <f t="shared" ref="AM50" si="112">AO50+AP50+AQ50+AV50+AN50</f>
        <v>0</v>
      </c>
      <c r="AN50" s="85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84">
        <v>32</v>
      </c>
      <c r="AX50" s="67" t="s">
        <v>69</v>
      </c>
      <c r="AY50" s="45">
        <f t="shared" ref="AY50" si="113">BA50+BB50+BC50+BH50+AZ50</f>
        <v>0</v>
      </c>
      <c r="AZ50" s="85">
        <v>0</v>
      </c>
      <c r="BA50" s="31">
        <v>0</v>
      </c>
      <c r="BB50" s="31">
        <v>0</v>
      </c>
      <c r="BC50" s="31">
        <v>0</v>
      </c>
      <c r="BD50" s="31">
        <v>0</v>
      </c>
      <c r="BE50" s="31">
        <v>0</v>
      </c>
      <c r="BF50" s="31">
        <v>0</v>
      </c>
      <c r="BG50" s="31">
        <v>0</v>
      </c>
      <c r="BH50" s="31">
        <v>0</v>
      </c>
      <c r="BI50" s="84">
        <v>32</v>
      </c>
      <c r="BJ50" s="67" t="s">
        <v>69</v>
      </c>
      <c r="BK50" s="45">
        <f t="shared" ref="BK50" si="114">BM50+BN50+BO50+BT50+BL50</f>
        <v>0</v>
      </c>
      <c r="BL50" s="85">
        <v>0</v>
      </c>
      <c r="BM50" s="31">
        <v>0</v>
      </c>
      <c r="BN50" s="31">
        <v>0</v>
      </c>
      <c r="BO50" s="31">
        <v>0</v>
      </c>
      <c r="BP50" s="31">
        <v>0</v>
      </c>
      <c r="BQ50" s="31">
        <v>0</v>
      </c>
      <c r="BR50" s="31">
        <v>0</v>
      </c>
      <c r="BS50" s="31">
        <v>0</v>
      </c>
      <c r="BT50" s="31">
        <v>0</v>
      </c>
      <c r="BU50" s="84">
        <v>32</v>
      </c>
      <c r="BV50" s="67" t="s">
        <v>69</v>
      </c>
      <c r="BW50" s="45">
        <f t="shared" ref="BW50" si="115">BY50+BZ50+CA50+CF50+BX50</f>
        <v>0</v>
      </c>
      <c r="BX50" s="85">
        <v>0</v>
      </c>
      <c r="BY50" s="31">
        <v>0</v>
      </c>
      <c r="BZ50" s="31">
        <v>0</v>
      </c>
      <c r="CA50" s="31">
        <v>0</v>
      </c>
      <c r="CB50" s="31">
        <v>0</v>
      </c>
      <c r="CC50" s="31">
        <v>0</v>
      </c>
      <c r="CD50" s="31">
        <v>0</v>
      </c>
      <c r="CE50" s="31">
        <v>0</v>
      </c>
      <c r="CF50" s="31">
        <v>0</v>
      </c>
      <c r="CG50" s="84">
        <v>32</v>
      </c>
      <c r="CH50" s="67" t="s">
        <v>69</v>
      </c>
      <c r="CI50" s="45">
        <f t="shared" ref="CI50" si="116">CK50+CL50+CM50+CR50+CJ50</f>
        <v>0</v>
      </c>
      <c r="CJ50" s="85">
        <v>0</v>
      </c>
      <c r="CK50" s="31">
        <v>0</v>
      </c>
      <c r="CL50" s="31">
        <v>0</v>
      </c>
      <c r="CM50" s="31">
        <v>0</v>
      </c>
      <c r="CN50" s="31">
        <v>0</v>
      </c>
      <c r="CO50" s="31">
        <v>0</v>
      </c>
      <c r="CP50" s="31">
        <v>0</v>
      </c>
      <c r="CQ50" s="31">
        <v>0</v>
      </c>
      <c r="CR50" s="31">
        <v>0</v>
      </c>
      <c r="CS50" s="84">
        <v>32</v>
      </c>
      <c r="CT50" s="67" t="s">
        <v>69</v>
      </c>
      <c r="CU50" s="45">
        <f t="shared" ref="CU50" si="117">CW50+CX50+CY50+DD50+CV50</f>
        <v>0</v>
      </c>
      <c r="CV50" s="85">
        <v>0</v>
      </c>
      <c r="CW50" s="31">
        <v>0</v>
      </c>
      <c r="CX50" s="31">
        <v>0</v>
      </c>
      <c r="CY50" s="31">
        <v>0</v>
      </c>
      <c r="CZ50" s="31">
        <v>0</v>
      </c>
      <c r="DA50" s="31">
        <v>0</v>
      </c>
      <c r="DB50" s="31">
        <v>0</v>
      </c>
      <c r="DC50" s="31">
        <v>0</v>
      </c>
      <c r="DD50" s="31">
        <v>0</v>
      </c>
    </row>
    <row r="51" spans="1:157" s="38" customFormat="1" ht="10.5" customHeight="1">
      <c r="A51" s="71">
        <v>33</v>
      </c>
      <c r="B51" s="29" t="s">
        <v>70</v>
      </c>
      <c r="C51" s="45">
        <f>SUM(D51:L51)</f>
        <v>8809.619999999999</v>
      </c>
      <c r="D51" s="31"/>
      <c r="E51" s="31">
        <f>Q51+AC51+AO51+BA51+BM51+BY51+CK51+CW51</f>
        <v>712.89999999999986</v>
      </c>
      <c r="F51" s="31">
        <f t="shared" ref="F51:L51" si="118">R51+AD51+AP51+BB51+BN51+BZ51+CL51+CX51</f>
        <v>1529.8899999999999</v>
      </c>
      <c r="G51" s="31">
        <f t="shared" si="118"/>
        <v>1022.93</v>
      </c>
      <c r="H51" s="31">
        <f t="shared" si="118"/>
        <v>1664.3799999999999</v>
      </c>
      <c r="I51" s="31">
        <f t="shared" si="118"/>
        <v>1217.8500000000001</v>
      </c>
      <c r="J51" s="31">
        <f t="shared" si="118"/>
        <v>456.89999999999992</v>
      </c>
      <c r="K51" s="31">
        <f t="shared" si="118"/>
        <v>933.84</v>
      </c>
      <c r="L51" s="31">
        <f t="shared" si="118"/>
        <v>1270.93</v>
      </c>
      <c r="M51" s="72">
        <v>33</v>
      </c>
      <c r="N51" s="29" t="s">
        <v>70</v>
      </c>
      <c r="O51" s="45">
        <f>SUM(P51:X51)</f>
        <v>1106.01</v>
      </c>
      <c r="P51" s="31">
        <v>0</v>
      </c>
      <c r="Q51" s="31">
        <v>89.59</v>
      </c>
      <c r="R51" s="31">
        <v>192.11</v>
      </c>
      <c r="S51" s="31">
        <v>128.52000000000001</v>
      </c>
      <c r="T51" s="31">
        <v>208.92</v>
      </c>
      <c r="U51" s="52">
        <v>152.85</v>
      </c>
      <c r="V51" s="52">
        <v>57.29</v>
      </c>
      <c r="W51" s="52">
        <v>117.24</v>
      </c>
      <c r="X51" s="52">
        <v>159.49</v>
      </c>
      <c r="Y51" s="71">
        <v>33</v>
      </c>
      <c r="Z51" s="29" t="s">
        <v>70</v>
      </c>
      <c r="AA51" s="45">
        <f>SUM(AB51:AJ51)</f>
        <v>1106.01</v>
      </c>
      <c r="AB51" s="31">
        <v>0</v>
      </c>
      <c r="AC51" s="31">
        <v>89.59</v>
      </c>
      <c r="AD51" s="31">
        <v>192.11</v>
      </c>
      <c r="AE51" s="31">
        <v>128.52000000000001</v>
      </c>
      <c r="AF51" s="31">
        <v>208.92</v>
      </c>
      <c r="AG51" s="52">
        <v>152.85</v>
      </c>
      <c r="AH51" s="52">
        <v>57.29</v>
      </c>
      <c r="AI51" s="52">
        <v>117.24</v>
      </c>
      <c r="AJ51" s="52">
        <v>159.49</v>
      </c>
      <c r="AK51" s="71">
        <v>33</v>
      </c>
      <c r="AL51" s="29" t="s">
        <v>70</v>
      </c>
      <c r="AM51" s="45">
        <f>SUM(AN51:AV51)</f>
        <v>1054</v>
      </c>
      <c r="AN51" s="31">
        <v>0</v>
      </c>
      <c r="AO51" s="31">
        <v>85</v>
      </c>
      <c r="AP51" s="31">
        <v>183</v>
      </c>
      <c r="AQ51" s="31">
        <v>122</v>
      </c>
      <c r="AR51" s="31">
        <v>199</v>
      </c>
      <c r="AS51" s="52">
        <v>146</v>
      </c>
      <c r="AT51" s="52">
        <v>55</v>
      </c>
      <c r="AU51" s="52">
        <v>112</v>
      </c>
      <c r="AV51" s="52">
        <v>152</v>
      </c>
      <c r="AW51" s="71">
        <v>33</v>
      </c>
      <c r="AX51" s="29" t="s">
        <v>70</v>
      </c>
      <c r="AY51" s="45">
        <f>SUM(AZ51:BH51)</f>
        <v>1078</v>
      </c>
      <c r="AZ51" s="31">
        <v>0</v>
      </c>
      <c r="BA51" s="31">
        <v>87</v>
      </c>
      <c r="BB51" s="31">
        <v>187</v>
      </c>
      <c r="BC51" s="31">
        <v>125</v>
      </c>
      <c r="BD51" s="31">
        <v>204</v>
      </c>
      <c r="BE51" s="52">
        <v>149</v>
      </c>
      <c r="BF51" s="52">
        <v>56</v>
      </c>
      <c r="BG51" s="52">
        <v>114</v>
      </c>
      <c r="BH51" s="52">
        <v>156</v>
      </c>
      <c r="BI51" s="71">
        <v>33</v>
      </c>
      <c r="BJ51" s="29" t="s">
        <v>70</v>
      </c>
      <c r="BK51" s="45">
        <f>SUM(BL51:BT51)</f>
        <v>1102.0000000000002</v>
      </c>
      <c r="BL51" s="31">
        <v>0</v>
      </c>
      <c r="BM51" s="31">
        <v>89.26</v>
      </c>
      <c r="BN51" s="31">
        <v>191.42</v>
      </c>
      <c r="BO51" s="31">
        <v>128.05000000000001</v>
      </c>
      <c r="BP51" s="31">
        <v>208.17</v>
      </c>
      <c r="BQ51" s="52">
        <v>152.30000000000001</v>
      </c>
      <c r="BR51" s="52">
        <v>57.08</v>
      </c>
      <c r="BS51" s="52">
        <v>116.81</v>
      </c>
      <c r="BT51" s="52">
        <v>158.91</v>
      </c>
      <c r="BU51" s="71">
        <v>33</v>
      </c>
      <c r="BV51" s="29" t="s">
        <v>70</v>
      </c>
      <c r="BW51" s="45">
        <f>SUM(BX51:CF51)</f>
        <v>1121.2</v>
      </c>
      <c r="BX51" s="31">
        <v>0</v>
      </c>
      <c r="BY51" s="31">
        <v>90.82</v>
      </c>
      <c r="BZ51" s="31">
        <v>194.75</v>
      </c>
      <c r="CA51" s="31">
        <v>130.28</v>
      </c>
      <c r="CB51" s="31">
        <v>211.79</v>
      </c>
      <c r="CC51" s="52">
        <v>154.94999999999999</v>
      </c>
      <c r="CD51" s="52">
        <v>58.08</v>
      </c>
      <c r="CE51" s="52">
        <v>118.85</v>
      </c>
      <c r="CF51" s="52">
        <v>161.68</v>
      </c>
      <c r="CG51" s="71">
        <v>33</v>
      </c>
      <c r="CH51" s="29" t="s">
        <v>70</v>
      </c>
      <c r="CI51" s="45">
        <f>SUM(CJ51:CR51)</f>
        <v>1121.2</v>
      </c>
      <c r="CJ51" s="31">
        <v>0</v>
      </c>
      <c r="CK51" s="31">
        <v>90.82</v>
      </c>
      <c r="CL51" s="31">
        <v>194.75</v>
      </c>
      <c r="CM51" s="31">
        <v>130.28</v>
      </c>
      <c r="CN51" s="31">
        <v>211.79</v>
      </c>
      <c r="CO51" s="52">
        <v>154.94999999999999</v>
      </c>
      <c r="CP51" s="52">
        <v>58.08</v>
      </c>
      <c r="CQ51" s="52">
        <v>118.85</v>
      </c>
      <c r="CR51" s="52">
        <v>161.68</v>
      </c>
      <c r="CS51" s="71">
        <v>33</v>
      </c>
      <c r="CT51" s="29" t="s">
        <v>70</v>
      </c>
      <c r="CU51" s="45">
        <f>SUM(CV51:DD51)</f>
        <v>1121.2</v>
      </c>
      <c r="CV51" s="31">
        <v>0</v>
      </c>
      <c r="CW51" s="31">
        <v>90.82</v>
      </c>
      <c r="CX51" s="31">
        <v>194.75</v>
      </c>
      <c r="CY51" s="31">
        <v>130.28</v>
      </c>
      <c r="CZ51" s="31">
        <v>211.79</v>
      </c>
      <c r="DA51" s="52">
        <v>154.94999999999999</v>
      </c>
      <c r="DB51" s="52">
        <v>58.08</v>
      </c>
      <c r="DC51" s="52">
        <v>118.85</v>
      </c>
      <c r="DD51" s="52">
        <v>161.68</v>
      </c>
    </row>
    <row r="52" spans="1:157" s="8" customFormat="1" ht="10.5" customHeight="1">
      <c r="A52" s="78"/>
      <c r="B52" s="79" t="s">
        <v>21</v>
      </c>
      <c r="C52" s="80">
        <f>SUM(C46:C51)</f>
        <v>269081.02</v>
      </c>
      <c r="D52" s="80"/>
      <c r="E52" s="80"/>
      <c r="F52" s="80"/>
      <c r="G52" s="80"/>
      <c r="H52" s="86"/>
      <c r="I52" s="80"/>
      <c r="J52" s="80"/>
      <c r="K52" s="80"/>
      <c r="L52" s="80"/>
      <c r="M52" s="66"/>
      <c r="N52" s="79" t="s">
        <v>21</v>
      </c>
      <c r="O52" s="45">
        <f>SUM(O17:O51)</f>
        <v>394925.06847999996</v>
      </c>
      <c r="P52" s="87"/>
      <c r="Q52" s="88">
        <f t="shared" ref="Q52:X52" si="119">SUM(Q17:Q51)</f>
        <v>30625.719680000002</v>
      </c>
      <c r="R52" s="88">
        <f t="shared" si="119"/>
        <v>73845.867899999997</v>
      </c>
      <c r="S52" s="88">
        <f t="shared" si="119"/>
        <v>45835.444079999987</v>
      </c>
      <c r="T52" s="88">
        <f t="shared" si="119"/>
        <v>69108.240939999989</v>
      </c>
      <c r="U52" s="89">
        <f t="shared" si="119"/>
        <v>55303.7817</v>
      </c>
      <c r="V52" s="89">
        <f t="shared" si="119"/>
        <v>20730.006920000003</v>
      </c>
      <c r="W52" s="89">
        <f t="shared" si="119"/>
        <v>42141.215959999994</v>
      </c>
      <c r="X52" s="89">
        <f t="shared" si="119"/>
        <v>57334.791300000004</v>
      </c>
      <c r="Y52" s="78"/>
      <c r="Z52" s="79" t="s">
        <v>21</v>
      </c>
      <c r="AA52" s="45">
        <f t="shared" si="88"/>
        <v>0</v>
      </c>
      <c r="AB52" s="67"/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78"/>
      <c r="AL52" s="79" t="s">
        <v>21</v>
      </c>
      <c r="AM52" s="45">
        <f t="shared" ref="AM52:AM55" si="120">AO52+AP52+AQ52+AV52+AN52</f>
        <v>0</v>
      </c>
      <c r="AN52" s="67"/>
      <c r="AO52" s="31">
        <v>0</v>
      </c>
      <c r="AP52" s="31">
        <v>0</v>
      </c>
      <c r="AQ52" s="31">
        <v>0</v>
      </c>
      <c r="AR52" s="31">
        <v>0</v>
      </c>
      <c r="AS52" s="31">
        <v>0</v>
      </c>
      <c r="AT52" s="31">
        <v>0</v>
      </c>
      <c r="AU52" s="31">
        <v>0</v>
      </c>
      <c r="AV52" s="31">
        <v>0</v>
      </c>
      <c r="AW52" s="78"/>
      <c r="AX52" s="79" t="s">
        <v>21</v>
      </c>
      <c r="AY52" s="45">
        <f t="shared" ref="AY52:AY55" si="121">BA52+BB52+BC52+BH52+AZ52</f>
        <v>0</v>
      </c>
      <c r="AZ52" s="67"/>
      <c r="BA52" s="31">
        <v>0</v>
      </c>
      <c r="BB52" s="31">
        <v>0</v>
      </c>
      <c r="BC52" s="31">
        <v>0</v>
      </c>
      <c r="BD52" s="31">
        <v>0</v>
      </c>
      <c r="BE52" s="31">
        <v>0</v>
      </c>
      <c r="BF52" s="31">
        <v>0</v>
      </c>
      <c r="BG52" s="31">
        <v>0</v>
      </c>
      <c r="BH52" s="31">
        <v>0</v>
      </c>
      <c r="BI52" s="78"/>
      <c r="BJ52" s="79" t="s">
        <v>21</v>
      </c>
      <c r="BK52" s="45">
        <f t="shared" ref="BK52:BK55" si="122">BM52+BN52+BO52+BT52+BL52</f>
        <v>0</v>
      </c>
      <c r="BL52" s="67"/>
      <c r="BM52" s="31">
        <v>0</v>
      </c>
      <c r="BN52" s="31">
        <v>0</v>
      </c>
      <c r="BO52" s="31">
        <v>0</v>
      </c>
      <c r="BP52" s="31">
        <v>0</v>
      </c>
      <c r="BQ52" s="31">
        <v>0</v>
      </c>
      <c r="BR52" s="31">
        <v>0</v>
      </c>
      <c r="BS52" s="31">
        <v>0</v>
      </c>
      <c r="BT52" s="31">
        <v>0</v>
      </c>
      <c r="BU52" s="78"/>
      <c r="BV52" s="79" t="s">
        <v>21</v>
      </c>
      <c r="BW52" s="45">
        <f t="shared" ref="BW52:BW55" si="123">BY52+BZ52+CA52+CF52+BX52</f>
        <v>0</v>
      </c>
      <c r="BX52" s="67"/>
      <c r="BY52" s="31">
        <v>0</v>
      </c>
      <c r="BZ52" s="31">
        <v>0</v>
      </c>
      <c r="CA52" s="31">
        <v>0</v>
      </c>
      <c r="CB52" s="31">
        <v>0</v>
      </c>
      <c r="CC52" s="31">
        <v>0</v>
      </c>
      <c r="CD52" s="31">
        <v>0</v>
      </c>
      <c r="CE52" s="31">
        <v>0</v>
      </c>
      <c r="CF52" s="31">
        <v>0</v>
      </c>
      <c r="CG52" s="78"/>
      <c r="CH52" s="79" t="s">
        <v>21</v>
      </c>
      <c r="CI52" s="45">
        <f t="shared" ref="CI52:CI55" si="124">CK52+CL52+CM52+CR52+CJ52</f>
        <v>0</v>
      </c>
      <c r="CJ52" s="67"/>
      <c r="CK52" s="31">
        <v>0</v>
      </c>
      <c r="CL52" s="31">
        <v>0</v>
      </c>
      <c r="CM52" s="31">
        <v>0</v>
      </c>
      <c r="CN52" s="31">
        <v>0</v>
      </c>
      <c r="CO52" s="31">
        <v>0</v>
      </c>
      <c r="CP52" s="31">
        <v>0</v>
      </c>
      <c r="CQ52" s="31">
        <v>0</v>
      </c>
      <c r="CR52" s="31">
        <v>0</v>
      </c>
      <c r="CS52" s="78"/>
      <c r="CT52" s="79" t="s">
        <v>21</v>
      </c>
      <c r="CU52" s="45">
        <f t="shared" ref="CU52:CU55" si="125">CW52+CX52+CY52+DD52+CV52</f>
        <v>0</v>
      </c>
      <c r="CV52" s="67"/>
      <c r="CW52" s="31">
        <v>0</v>
      </c>
      <c r="CX52" s="31">
        <v>0</v>
      </c>
      <c r="CY52" s="31">
        <v>0</v>
      </c>
      <c r="CZ52" s="31">
        <v>0</v>
      </c>
      <c r="DA52" s="31">
        <v>0</v>
      </c>
      <c r="DB52" s="31">
        <v>0</v>
      </c>
      <c r="DC52" s="31">
        <v>0</v>
      </c>
      <c r="DD52" s="31">
        <v>0</v>
      </c>
    </row>
    <row r="53" spans="1:157" s="8" customFormat="1" ht="10.5" customHeight="1">
      <c r="A53" s="61"/>
      <c r="B53" s="62" t="s">
        <v>71</v>
      </c>
      <c r="C53" s="90"/>
      <c r="D53" s="91"/>
      <c r="E53" s="91"/>
      <c r="F53" s="91"/>
      <c r="G53" s="91"/>
      <c r="H53" s="92"/>
      <c r="I53" s="91"/>
      <c r="J53" s="91"/>
      <c r="K53" s="91"/>
      <c r="L53" s="91"/>
      <c r="M53" s="81"/>
      <c r="N53" s="62" t="s">
        <v>71</v>
      </c>
      <c r="O53" s="45">
        <f t="shared" si="73"/>
        <v>0</v>
      </c>
      <c r="P53" s="87">
        <v>0</v>
      </c>
      <c r="Q53" s="87">
        <v>0</v>
      </c>
      <c r="R53" s="93">
        <v>0</v>
      </c>
      <c r="S53" s="87">
        <v>0</v>
      </c>
      <c r="T53" s="87">
        <v>0</v>
      </c>
      <c r="U53" s="94">
        <v>0</v>
      </c>
      <c r="V53" s="94">
        <v>0</v>
      </c>
      <c r="W53" s="94">
        <v>0</v>
      </c>
      <c r="X53" s="94">
        <v>0</v>
      </c>
      <c r="Y53" s="61"/>
      <c r="Z53" s="62" t="s">
        <v>71</v>
      </c>
      <c r="AA53" s="45">
        <f t="shared" si="88"/>
        <v>0</v>
      </c>
      <c r="AB53" s="87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61"/>
      <c r="AL53" s="62" t="s">
        <v>71</v>
      </c>
      <c r="AM53" s="45">
        <f t="shared" si="120"/>
        <v>0</v>
      </c>
      <c r="AN53" s="87">
        <v>0</v>
      </c>
      <c r="AO53" s="31">
        <v>0</v>
      </c>
      <c r="AP53" s="31">
        <v>0</v>
      </c>
      <c r="AQ53" s="31">
        <v>0</v>
      </c>
      <c r="AR53" s="31">
        <v>0</v>
      </c>
      <c r="AS53" s="31">
        <v>0</v>
      </c>
      <c r="AT53" s="31">
        <v>0</v>
      </c>
      <c r="AU53" s="31">
        <v>0</v>
      </c>
      <c r="AV53" s="31">
        <v>0</v>
      </c>
      <c r="AW53" s="61"/>
      <c r="AX53" s="62" t="s">
        <v>71</v>
      </c>
      <c r="AY53" s="45">
        <f t="shared" si="121"/>
        <v>0</v>
      </c>
      <c r="AZ53" s="87">
        <v>0</v>
      </c>
      <c r="BA53" s="31">
        <v>0</v>
      </c>
      <c r="BB53" s="31">
        <v>0</v>
      </c>
      <c r="BC53" s="31">
        <v>0</v>
      </c>
      <c r="BD53" s="31">
        <v>0</v>
      </c>
      <c r="BE53" s="31">
        <v>0</v>
      </c>
      <c r="BF53" s="31">
        <v>0</v>
      </c>
      <c r="BG53" s="31">
        <v>0</v>
      </c>
      <c r="BH53" s="31">
        <v>0</v>
      </c>
      <c r="BI53" s="61"/>
      <c r="BJ53" s="62" t="s">
        <v>71</v>
      </c>
      <c r="BK53" s="45">
        <f t="shared" si="122"/>
        <v>0</v>
      </c>
      <c r="BL53" s="87">
        <v>0</v>
      </c>
      <c r="BM53" s="31">
        <v>0</v>
      </c>
      <c r="BN53" s="31">
        <v>0</v>
      </c>
      <c r="BO53" s="31">
        <v>0</v>
      </c>
      <c r="BP53" s="31">
        <v>0</v>
      </c>
      <c r="BQ53" s="31">
        <v>0</v>
      </c>
      <c r="BR53" s="31">
        <v>0</v>
      </c>
      <c r="BS53" s="31">
        <v>0</v>
      </c>
      <c r="BT53" s="31">
        <v>0</v>
      </c>
      <c r="BU53" s="61"/>
      <c r="BV53" s="62" t="s">
        <v>71</v>
      </c>
      <c r="BW53" s="45">
        <f t="shared" si="123"/>
        <v>0</v>
      </c>
      <c r="BX53" s="87">
        <v>0</v>
      </c>
      <c r="BY53" s="31">
        <v>0</v>
      </c>
      <c r="BZ53" s="31">
        <v>0</v>
      </c>
      <c r="CA53" s="31">
        <v>0</v>
      </c>
      <c r="CB53" s="31">
        <v>0</v>
      </c>
      <c r="CC53" s="31">
        <v>0</v>
      </c>
      <c r="CD53" s="31">
        <v>0</v>
      </c>
      <c r="CE53" s="31">
        <v>0</v>
      </c>
      <c r="CF53" s="31">
        <v>0</v>
      </c>
      <c r="CG53" s="61"/>
      <c r="CH53" s="62" t="s">
        <v>71</v>
      </c>
      <c r="CI53" s="45">
        <f t="shared" si="124"/>
        <v>0</v>
      </c>
      <c r="CJ53" s="87">
        <v>0</v>
      </c>
      <c r="CK53" s="31">
        <v>0</v>
      </c>
      <c r="CL53" s="31">
        <v>0</v>
      </c>
      <c r="CM53" s="31">
        <v>0</v>
      </c>
      <c r="CN53" s="31">
        <v>0</v>
      </c>
      <c r="CO53" s="31">
        <v>0</v>
      </c>
      <c r="CP53" s="31">
        <v>0</v>
      </c>
      <c r="CQ53" s="31">
        <v>0</v>
      </c>
      <c r="CR53" s="31">
        <v>0</v>
      </c>
      <c r="CS53" s="61"/>
      <c r="CT53" s="62" t="s">
        <v>71</v>
      </c>
      <c r="CU53" s="45">
        <f t="shared" si="125"/>
        <v>0</v>
      </c>
      <c r="CV53" s="87">
        <v>0</v>
      </c>
      <c r="CW53" s="31">
        <v>0</v>
      </c>
      <c r="CX53" s="31">
        <v>0</v>
      </c>
      <c r="CY53" s="31">
        <v>0</v>
      </c>
      <c r="CZ53" s="31">
        <v>0</v>
      </c>
      <c r="DA53" s="31">
        <v>0</v>
      </c>
      <c r="DB53" s="31">
        <v>0</v>
      </c>
      <c r="DC53" s="31">
        <v>0</v>
      </c>
      <c r="DD53" s="31">
        <v>0</v>
      </c>
    </row>
    <row r="54" spans="1:157" s="8" customFormat="1" ht="10.5" customHeight="1">
      <c r="A54" s="71">
        <v>34</v>
      </c>
      <c r="B54" s="73" t="s">
        <v>72</v>
      </c>
      <c r="C54" s="45">
        <f>E54+F54+G54+H54+D54</f>
        <v>0</v>
      </c>
      <c r="D54" s="31"/>
      <c r="E54" s="31">
        <f>Q54+AC54</f>
        <v>0</v>
      </c>
      <c r="F54" s="31">
        <f t="shared" ref="F54:L54" si="126">R54+AD54</f>
        <v>0</v>
      </c>
      <c r="G54" s="31">
        <f t="shared" si="126"/>
        <v>0</v>
      </c>
      <c r="H54" s="31">
        <f t="shared" si="126"/>
        <v>0</v>
      </c>
      <c r="I54" s="31">
        <f t="shared" si="126"/>
        <v>0</v>
      </c>
      <c r="J54" s="31">
        <f t="shared" si="126"/>
        <v>0</v>
      </c>
      <c r="K54" s="31">
        <f t="shared" si="126"/>
        <v>0</v>
      </c>
      <c r="L54" s="31">
        <f t="shared" si="126"/>
        <v>0</v>
      </c>
      <c r="M54" s="72">
        <v>34</v>
      </c>
      <c r="N54" s="73" t="s">
        <v>72</v>
      </c>
      <c r="O54" s="45">
        <f t="shared" si="73"/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52">
        <v>0</v>
      </c>
      <c r="V54" s="52">
        <v>0</v>
      </c>
      <c r="W54" s="52">
        <v>0</v>
      </c>
      <c r="X54" s="52">
        <v>0</v>
      </c>
      <c r="Y54" s="71">
        <v>34</v>
      </c>
      <c r="Z54" s="73" t="s">
        <v>72</v>
      </c>
      <c r="AA54" s="45">
        <f t="shared" si="88"/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71">
        <v>34</v>
      </c>
      <c r="AL54" s="73" t="s">
        <v>72</v>
      </c>
      <c r="AM54" s="45">
        <f t="shared" si="120"/>
        <v>0</v>
      </c>
      <c r="AN54" s="31">
        <v>0</v>
      </c>
      <c r="AO54" s="31">
        <v>0</v>
      </c>
      <c r="AP54" s="31">
        <v>0</v>
      </c>
      <c r="AQ54" s="31">
        <v>0</v>
      </c>
      <c r="AR54" s="31">
        <v>0</v>
      </c>
      <c r="AS54" s="31">
        <v>0</v>
      </c>
      <c r="AT54" s="31">
        <v>0</v>
      </c>
      <c r="AU54" s="31">
        <v>0</v>
      </c>
      <c r="AV54" s="31">
        <v>0</v>
      </c>
      <c r="AW54" s="71">
        <v>34</v>
      </c>
      <c r="AX54" s="73" t="s">
        <v>72</v>
      </c>
      <c r="AY54" s="45">
        <f t="shared" si="121"/>
        <v>0</v>
      </c>
      <c r="AZ54" s="31">
        <v>0</v>
      </c>
      <c r="BA54" s="31">
        <v>0</v>
      </c>
      <c r="BB54" s="31">
        <v>0</v>
      </c>
      <c r="BC54" s="31">
        <v>0</v>
      </c>
      <c r="BD54" s="31">
        <v>0</v>
      </c>
      <c r="BE54" s="31">
        <v>0</v>
      </c>
      <c r="BF54" s="31">
        <v>0</v>
      </c>
      <c r="BG54" s="31">
        <v>0</v>
      </c>
      <c r="BH54" s="31">
        <v>0</v>
      </c>
      <c r="BI54" s="71">
        <v>34</v>
      </c>
      <c r="BJ54" s="73" t="s">
        <v>72</v>
      </c>
      <c r="BK54" s="45">
        <f t="shared" si="122"/>
        <v>0</v>
      </c>
      <c r="BL54" s="31">
        <v>0</v>
      </c>
      <c r="BM54" s="31">
        <v>0</v>
      </c>
      <c r="BN54" s="31">
        <v>0</v>
      </c>
      <c r="BO54" s="31">
        <v>0</v>
      </c>
      <c r="BP54" s="31">
        <v>0</v>
      </c>
      <c r="BQ54" s="31">
        <v>0</v>
      </c>
      <c r="BR54" s="31">
        <v>0</v>
      </c>
      <c r="BS54" s="31">
        <v>0</v>
      </c>
      <c r="BT54" s="31">
        <v>0</v>
      </c>
      <c r="BU54" s="71">
        <v>34</v>
      </c>
      <c r="BV54" s="73" t="s">
        <v>72</v>
      </c>
      <c r="BW54" s="45">
        <f t="shared" si="123"/>
        <v>0</v>
      </c>
      <c r="BX54" s="31">
        <v>0</v>
      </c>
      <c r="BY54" s="31">
        <v>0</v>
      </c>
      <c r="BZ54" s="31">
        <v>0</v>
      </c>
      <c r="CA54" s="31">
        <v>0</v>
      </c>
      <c r="CB54" s="31">
        <v>0</v>
      </c>
      <c r="CC54" s="31">
        <v>0</v>
      </c>
      <c r="CD54" s="31">
        <v>0</v>
      </c>
      <c r="CE54" s="31">
        <v>0</v>
      </c>
      <c r="CF54" s="31">
        <v>0</v>
      </c>
      <c r="CG54" s="71">
        <v>34</v>
      </c>
      <c r="CH54" s="73" t="s">
        <v>72</v>
      </c>
      <c r="CI54" s="45">
        <f t="shared" si="124"/>
        <v>0</v>
      </c>
      <c r="CJ54" s="31">
        <v>0</v>
      </c>
      <c r="CK54" s="31">
        <v>0</v>
      </c>
      <c r="CL54" s="31">
        <v>0</v>
      </c>
      <c r="CM54" s="31">
        <v>0</v>
      </c>
      <c r="CN54" s="31">
        <v>0</v>
      </c>
      <c r="CO54" s="31">
        <v>0</v>
      </c>
      <c r="CP54" s="31">
        <v>0</v>
      </c>
      <c r="CQ54" s="31">
        <v>0</v>
      </c>
      <c r="CR54" s="31">
        <v>0</v>
      </c>
      <c r="CS54" s="71">
        <v>34</v>
      </c>
      <c r="CT54" s="73" t="s">
        <v>72</v>
      </c>
      <c r="CU54" s="45">
        <f t="shared" si="125"/>
        <v>0</v>
      </c>
      <c r="CV54" s="31">
        <v>0</v>
      </c>
      <c r="CW54" s="31">
        <v>0</v>
      </c>
      <c r="CX54" s="31">
        <v>0</v>
      </c>
      <c r="CY54" s="31">
        <v>0</v>
      </c>
      <c r="CZ54" s="31">
        <v>0</v>
      </c>
      <c r="DA54" s="31">
        <v>0</v>
      </c>
      <c r="DB54" s="31">
        <v>0</v>
      </c>
      <c r="DC54" s="31">
        <v>0</v>
      </c>
      <c r="DD54" s="31">
        <v>0</v>
      </c>
    </row>
    <row r="55" spans="1:157" s="8" customFormat="1" ht="10.5" customHeight="1">
      <c r="A55" s="71">
        <v>35</v>
      </c>
      <c r="B55" s="73" t="s">
        <v>73</v>
      </c>
      <c r="C55" s="45">
        <f>E55+F55+G55+H55+D55</f>
        <v>0</v>
      </c>
      <c r="D55" s="31"/>
      <c r="E55" s="31">
        <f>P55+AC55</f>
        <v>0</v>
      </c>
      <c r="F55" s="31">
        <f t="shared" ref="F55:L55" si="127">Q55+AD55</f>
        <v>0</v>
      </c>
      <c r="G55" s="31">
        <f t="shared" si="127"/>
        <v>0</v>
      </c>
      <c r="H55" s="31">
        <f t="shared" si="127"/>
        <v>0</v>
      </c>
      <c r="I55" s="31">
        <f t="shared" si="127"/>
        <v>0</v>
      </c>
      <c r="J55" s="31">
        <f t="shared" si="127"/>
        <v>0</v>
      </c>
      <c r="K55" s="31">
        <f t="shared" si="127"/>
        <v>0</v>
      </c>
      <c r="L55" s="31">
        <f t="shared" si="127"/>
        <v>0</v>
      </c>
      <c r="M55" s="72">
        <v>35</v>
      </c>
      <c r="N55" s="73" t="s">
        <v>73</v>
      </c>
      <c r="O55" s="45">
        <f>Q55+R55+S55+T55+P55</f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52">
        <v>0</v>
      </c>
      <c r="V55" s="52">
        <v>0</v>
      </c>
      <c r="W55" s="52">
        <v>0</v>
      </c>
      <c r="X55" s="52">
        <v>0</v>
      </c>
      <c r="Y55" s="71">
        <v>35</v>
      </c>
      <c r="Z55" s="73" t="s">
        <v>73</v>
      </c>
      <c r="AA55" s="45">
        <f t="shared" si="88"/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71">
        <v>35</v>
      </c>
      <c r="AL55" s="73" t="s">
        <v>73</v>
      </c>
      <c r="AM55" s="45">
        <f t="shared" si="120"/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71">
        <v>35</v>
      </c>
      <c r="AX55" s="73" t="s">
        <v>73</v>
      </c>
      <c r="AY55" s="45">
        <f t="shared" si="121"/>
        <v>0</v>
      </c>
      <c r="AZ55" s="31">
        <v>0</v>
      </c>
      <c r="BA55" s="31">
        <v>0</v>
      </c>
      <c r="BB55" s="31">
        <v>0</v>
      </c>
      <c r="BC55" s="31">
        <v>0</v>
      </c>
      <c r="BD55" s="31">
        <v>0</v>
      </c>
      <c r="BE55" s="31">
        <v>0</v>
      </c>
      <c r="BF55" s="31">
        <v>0</v>
      </c>
      <c r="BG55" s="31">
        <v>0</v>
      </c>
      <c r="BH55" s="31">
        <v>0</v>
      </c>
      <c r="BI55" s="71">
        <v>35</v>
      </c>
      <c r="BJ55" s="73" t="s">
        <v>73</v>
      </c>
      <c r="BK55" s="45">
        <f t="shared" si="122"/>
        <v>0</v>
      </c>
      <c r="BL55" s="31">
        <v>0</v>
      </c>
      <c r="BM55" s="31">
        <v>0</v>
      </c>
      <c r="BN55" s="31">
        <v>0</v>
      </c>
      <c r="BO55" s="31">
        <v>0</v>
      </c>
      <c r="BP55" s="31">
        <v>0</v>
      </c>
      <c r="BQ55" s="31">
        <v>0</v>
      </c>
      <c r="BR55" s="31">
        <v>0</v>
      </c>
      <c r="BS55" s="31">
        <v>0</v>
      </c>
      <c r="BT55" s="31">
        <v>0</v>
      </c>
      <c r="BU55" s="71">
        <v>35</v>
      </c>
      <c r="BV55" s="73" t="s">
        <v>73</v>
      </c>
      <c r="BW55" s="45">
        <f t="shared" si="123"/>
        <v>0</v>
      </c>
      <c r="BX55" s="31">
        <v>0</v>
      </c>
      <c r="BY55" s="31">
        <v>0</v>
      </c>
      <c r="BZ55" s="31">
        <v>0</v>
      </c>
      <c r="CA55" s="31">
        <v>0</v>
      </c>
      <c r="CB55" s="31">
        <v>0</v>
      </c>
      <c r="CC55" s="31">
        <v>0</v>
      </c>
      <c r="CD55" s="31">
        <v>0</v>
      </c>
      <c r="CE55" s="31">
        <v>0</v>
      </c>
      <c r="CF55" s="31">
        <v>0</v>
      </c>
      <c r="CG55" s="71">
        <v>35</v>
      </c>
      <c r="CH55" s="73" t="s">
        <v>73</v>
      </c>
      <c r="CI55" s="45">
        <f t="shared" si="124"/>
        <v>0</v>
      </c>
      <c r="CJ55" s="31">
        <v>0</v>
      </c>
      <c r="CK55" s="31">
        <v>0</v>
      </c>
      <c r="CL55" s="31">
        <v>0</v>
      </c>
      <c r="CM55" s="31">
        <v>0</v>
      </c>
      <c r="CN55" s="31">
        <v>0</v>
      </c>
      <c r="CO55" s="31">
        <v>0</v>
      </c>
      <c r="CP55" s="31">
        <v>0</v>
      </c>
      <c r="CQ55" s="31">
        <v>0</v>
      </c>
      <c r="CR55" s="31">
        <v>0</v>
      </c>
      <c r="CS55" s="71">
        <v>35</v>
      </c>
      <c r="CT55" s="73" t="s">
        <v>73</v>
      </c>
      <c r="CU55" s="45">
        <f t="shared" si="125"/>
        <v>0</v>
      </c>
      <c r="CV55" s="31">
        <v>0</v>
      </c>
      <c r="CW55" s="31">
        <v>0</v>
      </c>
      <c r="CX55" s="31">
        <v>0</v>
      </c>
      <c r="CY55" s="31">
        <v>0</v>
      </c>
      <c r="CZ55" s="31">
        <v>0</v>
      </c>
      <c r="DA55" s="31">
        <v>0</v>
      </c>
      <c r="DB55" s="31">
        <v>0</v>
      </c>
      <c r="DC55" s="31">
        <v>0</v>
      </c>
      <c r="DD55" s="31">
        <v>0</v>
      </c>
    </row>
    <row r="56" spans="1:157" s="8" customFormat="1" ht="10.5" customHeight="1">
      <c r="A56" s="71">
        <v>36</v>
      </c>
      <c r="B56" s="73" t="s">
        <v>74</v>
      </c>
      <c r="C56" s="45">
        <f>E56+F56+G56+H56+D56</f>
        <v>0</v>
      </c>
      <c r="D56" s="31"/>
      <c r="E56" s="31">
        <f>Q56+AC56</f>
        <v>0</v>
      </c>
      <c r="F56" s="31">
        <f t="shared" ref="F56:L56" si="128">R56+AD56</f>
        <v>0</v>
      </c>
      <c r="G56" s="31">
        <f t="shared" si="128"/>
        <v>0</v>
      </c>
      <c r="H56" s="31">
        <f t="shared" si="128"/>
        <v>0</v>
      </c>
      <c r="I56" s="31">
        <f t="shared" si="128"/>
        <v>0</v>
      </c>
      <c r="J56" s="31">
        <f t="shared" si="128"/>
        <v>0</v>
      </c>
      <c r="K56" s="31">
        <f t="shared" si="128"/>
        <v>0</v>
      </c>
      <c r="L56" s="31">
        <f t="shared" si="128"/>
        <v>0</v>
      </c>
      <c r="M56" s="72">
        <v>36</v>
      </c>
      <c r="N56" s="73" t="s">
        <v>74</v>
      </c>
      <c r="O56" s="45">
        <f>Q56+R56+S56+T56+P56</f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52">
        <v>0</v>
      </c>
      <c r="V56" s="52">
        <v>0</v>
      </c>
      <c r="W56" s="52">
        <v>0</v>
      </c>
      <c r="X56" s="52">
        <v>0</v>
      </c>
      <c r="Y56" s="71">
        <v>36</v>
      </c>
      <c r="Z56" s="73" t="s">
        <v>74</v>
      </c>
      <c r="AA56" s="45">
        <f>AC56+AD56+AE56+AJ56+AB56</f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71">
        <v>36</v>
      </c>
      <c r="AL56" s="73" t="s">
        <v>74</v>
      </c>
      <c r="AM56" s="45">
        <f>AO56+AP56+AQ56+AV56+AN56</f>
        <v>0</v>
      </c>
      <c r="AN56" s="31">
        <v>0</v>
      </c>
      <c r="AO56" s="31">
        <v>0</v>
      </c>
      <c r="AP56" s="31">
        <v>0</v>
      </c>
      <c r="AQ56" s="31">
        <v>0</v>
      </c>
      <c r="AR56" s="31">
        <v>0</v>
      </c>
      <c r="AS56" s="31">
        <v>0</v>
      </c>
      <c r="AT56" s="31">
        <v>0</v>
      </c>
      <c r="AU56" s="31">
        <v>0</v>
      </c>
      <c r="AV56" s="31">
        <v>0</v>
      </c>
      <c r="AW56" s="71">
        <v>36</v>
      </c>
      <c r="AX56" s="73" t="s">
        <v>74</v>
      </c>
      <c r="AY56" s="45">
        <f>BA56+BB56+BC56+BH56+AZ56</f>
        <v>0</v>
      </c>
      <c r="AZ56" s="31">
        <v>0</v>
      </c>
      <c r="BA56" s="31">
        <v>0</v>
      </c>
      <c r="BB56" s="31">
        <v>0</v>
      </c>
      <c r="BC56" s="31">
        <v>0</v>
      </c>
      <c r="BD56" s="31">
        <v>0</v>
      </c>
      <c r="BE56" s="31">
        <v>0</v>
      </c>
      <c r="BF56" s="31">
        <v>0</v>
      </c>
      <c r="BG56" s="31">
        <v>0</v>
      </c>
      <c r="BH56" s="31">
        <v>0</v>
      </c>
      <c r="BI56" s="71">
        <v>36</v>
      </c>
      <c r="BJ56" s="73" t="s">
        <v>74</v>
      </c>
      <c r="BK56" s="45">
        <f>BM56+BN56+BO56+BT56+BL56</f>
        <v>0</v>
      </c>
      <c r="BL56" s="31">
        <v>0</v>
      </c>
      <c r="BM56" s="31">
        <v>0</v>
      </c>
      <c r="BN56" s="31">
        <v>0</v>
      </c>
      <c r="BO56" s="31">
        <v>0</v>
      </c>
      <c r="BP56" s="31">
        <v>0</v>
      </c>
      <c r="BQ56" s="31">
        <v>0</v>
      </c>
      <c r="BR56" s="31">
        <v>0</v>
      </c>
      <c r="BS56" s="31">
        <v>0</v>
      </c>
      <c r="BT56" s="31">
        <v>0</v>
      </c>
      <c r="BU56" s="71">
        <v>36</v>
      </c>
      <c r="BV56" s="73" t="s">
        <v>74</v>
      </c>
      <c r="BW56" s="45">
        <f>BY56+BZ56+CA56+CF56+BX56</f>
        <v>0</v>
      </c>
      <c r="BX56" s="31">
        <v>0</v>
      </c>
      <c r="BY56" s="31">
        <v>0</v>
      </c>
      <c r="BZ56" s="31">
        <v>0</v>
      </c>
      <c r="CA56" s="31">
        <v>0</v>
      </c>
      <c r="CB56" s="31">
        <v>0</v>
      </c>
      <c r="CC56" s="31">
        <v>0</v>
      </c>
      <c r="CD56" s="31">
        <v>0</v>
      </c>
      <c r="CE56" s="31">
        <v>0</v>
      </c>
      <c r="CF56" s="31">
        <v>0</v>
      </c>
      <c r="CG56" s="71">
        <v>36</v>
      </c>
      <c r="CH56" s="73" t="s">
        <v>74</v>
      </c>
      <c r="CI56" s="45">
        <f>CK56+CL56+CM56+CR56+CJ56</f>
        <v>0</v>
      </c>
      <c r="CJ56" s="31">
        <v>0</v>
      </c>
      <c r="CK56" s="31">
        <v>0</v>
      </c>
      <c r="CL56" s="31">
        <v>0</v>
      </c>
      <c r="CM56" s="31">
        <v>0</v>
      </c>
      <c r="CN56" s="31">
        <v>0</v>
      </c>
      <c r="CO56" s="31">
        <v>0</v>
      </c>
      <c r="CP56" s="31">
        <v>0</v>
      </c>
      <c r="CQ56" s="31">
        <v>0</v>
      </c>
      <c r="CR56" s="31">
        <v>0</v>
      </c>
      <c r="CS56" s="71">
        <v>36</v>
      </c>
      <c r="CT56" s="73" t="s">
        <v>74</v>
      </c>
      <c r="CU56" s="45">
        <f>CW56+CX56+CY56+DD56+CV56</f>
        <v>0</v>
      </c>
      <c r="CV56" s="31">
        <v>0</v>
      </c>
      <c r="CW56" s="31">
        <v>0</v>
      </c>
      <c r="CX56" s="31">
        <v>0</v>
      </c>
      <c r="CY56" s="31">
        <v>0</v>
      </c>
      <c r="CZ56" s="31">
        <v>0</v>
      </c>
      <c r="DA56" s="31">
        <v>0</v>
      </c>
      <c r="DB56" s="31">
        <v>0</v>
      </c>
      <c r="DC56" s="31">
        <v>0</v>
      </c>
      <c r="DD56" s="31">
        <v>0</v>
      </c>
    </row>
    <row r="57" spans="1:157" s="8" customFormat="1" ht="12" customHeight="1">
      <c r="A57" s="78"/>
      <c r="B57" s="79" t="s">
        <v>21</v>
      </c>
      <c r="C57" s="80">
        <f t="shared" ref="C57" si="129">SUM(C54:C56)</f>
        <v>0</v>
      </c>
      <c r="D57" s="80"/>
      <c r="E57" s="80">
        <f t="shared" ref="E57:L57" si="130">SUM(E54:E56)</f>
        <v>0</v>
      </c>
      <c r="F57" s="80">
        <f t="shared" si="130"/>
        <v>0</v>
      </c>
      <c r="G57" s="80">
        <f t="shared" si="130"/>
        <v>0</v>
      </c>
      <c r="H57" s="86">
        <f t="shared" si="130"/>
        <v>0</v>
      </c>
      <c r="I57" s="80">
        <f t="shared" si="130"/>
        <v>0</v>
      </c>
      <c r="J57" s="80">
        <f t="shared" si="130"/>
        <v>0</v>
      </c>
      <c r="K57" s="80">
        <f t="shared" si="130"/>
        <v>0</v>
      </c>
      <c r="L57" s="80">
        <f t="shared" si="130"/>
        <v>0</v>
      </c>
      <c r="M57" s="66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</row>
    <row r="58" spans="1:157" s="79" customFormat="1" ht="11.1" customHeight="1">
      <c r="A58" s="71"/>
      <c r="B58" s="54" t="s">
        <v>75</v>
      </c>
      <c r="C58" s="30">
        <f>C44+C52+C57</f>
        <v>3646858.9394859998</v>
      </c>
      <c r="D58" s="55"/>
      <c r="E58" s="55"/>
      <c r="F58" s="55"/>
      <c r="G58" s="55"/>
      <c r="H58" s="56"/>
      <c r="I58" s="55"/>
      <c r="J58" s="55"/>
      <c r="K58" s="55"/>
      <c r="L58" s="55"/>
      <c r="M58" s="72"/>
      <c r="N58" s="54" t="s">
        <v>75</v>
      </c>
      <c r="O58" s="30">
        <f>O52+O53</f>
        <v>394925.06847999996</v>
      </c>
      <c r="P58" s="41">
        <f t="shared" ref="P58" si="131">SUM(P17:P56)</f>
        <v>0</v>
      </c>
      <c r="Q58" s="41">
        <f t="shared" ref="Q58:X58" si="132">Q52+Q53</f>
        <v>30625.719680000002</v>
      </c>
      <c r="R58" s="41">
        <f t="shared" si="132"/>
        <v>73845.867899999997</v>
      </c>
      <c r="S58" s="41">
        <f t="shared" si="132"/>
        <v>45835.444079999987</v>
      </c>
      <c r="T58" s="41">
        <f t="shared" si="132"/>
        <v>69108.240939999989</v>
      </c>
      <c r="U58" s="41">
        <f t="shared" si="132"/>
        <v>55303.7817</v>
      </c>
      <c r="V58" s="41">
        <f t="shared" si="132"/>
        <v>20730.006920000003</v>
      </c>
      <c r="W58" s="41">
        <f t="shared" si="132"/>
        <v>42141.215959999994</v>
      </c>
      <c r="X58" s="41">
        <f t="shared" si="132"/>
        <v>57334.791300000004</v>
      </c>
      <c r="Y58" s="95"/>
      <c r="Z58" s="54" t="s">
        <v>75</v>
      </c>
      <c r="AA58" s="30">
        <f t="shared" ref="AA58:AJ58" si="133">SUM(AA17:AA56)</f>
        <v>488683.12609000003</v>
      </c>
      <c r="AB58" s="41">
        <f t="shared" si="133"/>
        <v>0</v>
      </c>
      <c r="AC58" s="41">
        <f t="shared" si="133"/>
        <v>35045.152869999998</v>
      </c>
      <c r="AD58" s="41">
        <f t="shared" si="133"/>
        <v>84842.858980000005</v>
      </c>
      <c r="AE58" s="41">
        <f t="shared" si="133"/>
        <v>57569.993509999986</v>
      </c>
      <c r="AF58" s="41">
        <f t="shared" si="133"/>
        <v>81554.170989999999</v>
      </c>
      <c r="AG58" s="41">
        <f t="shared" si="133"/>
        <v>75402.420270000002</v>
      </c>
      <c r="AH58" s="41">
        <f t="shared" si="133"/>
        <v>25188.65768</v>
      </c>
      <c r="AI58" s="41">
        <f t="shared" si="133"/>
        <v>54615.019039999999</v>
      </c>
      <c r="AJ58" s="41">
        <f t="shared" si="133"/>
        <v>74464.852750000005</v>
      </c>
      <c r="AK58" s="95"/>
      <c r="AL58" s="54" t="s">
        <v>75</v>
      </c>
      <c r="AM58" s="30">
        <f>SUM(AM17:AM56)</f>
        <v>492053.15971599997</v>
      </c>
      <c r="AN58" s="41">
        <f t="shared" ref="AN58" si="134">SUM(AN17:AN56)</f>
        <v>0</v>
      </c>
      <c r="AO58" s="41">
        <f t="shared" ref="AO58:AV58" si="135">SUM(AO17:AO56)</f>
        <v>41842.046800000004</v>
      </c>
      <c r="AP58" s="41">
        <f t="shared" si="135"/>
        <v>89756.555760000003</v>
      </c>
      <c r="AQ58" s="41">
        <f t="shared" si="135"/>
        <v>59473.707759999998</v>
      </c>
      <c r="AR58" s="41">
        <f t="shared" si="135"/>
        <v>98173.234719999993</v>
      </c>
      <c r="AS58" s="41">
        <f t="shared" si="135"/>
        <v>64635.477359999997</v>
      </c>
      <c r="AT58" s="41">
        <f t="shared" si="135"/>
        <v>24128.098640000004</v>
      </c>
      <c r="AU58" s="41">
        <f t="shared" si="135"/>
        <v>49083.2448</v>
      </c>
      <c r="AV58" s="41">
        <f t="shared" si="135"/>
        <v>64960.793875999996</v>
      </c>
      <c r="AW58" s="95"/>
      <c r="AX58" s="54" t="s">
        <v>75</v>
      </c>
      <c r="AY58" s="30">
        <f>SUM(AY17:AY56)</f>
        <v>455832.90938000003</v>
      </c>
      <c r="AZ58" s="41">
        <f t="shared" ref="AZ58:BH58" si="136">SUM(AZ17:AZ56)</f>
        <v>0</v>
      </c>
      <c r="BA58" s="41">
        <f t="shared" si="136"/>
        <v>34494.656800000004</v>
      </c>
      <c r="BB58" s="41">
        <f t="shared" si="136"/>
        <v>79215.134860000006</v>
      </c>
      <c r="BC58" s="41">
        <f t="shared" si="136"/>
        <v>56253.376619999995</v>
      </c>
      <c r="BD58" s="41">
        <f t="shared" si="136"/>
        <v>89459.860059999992</v>
      </c>
      <c r="BE58" s="41">
        <f t="shared" si="136"/>
        <v>66340.995299999995</v>
      </c>
      <c r="BF58" s="41">
        <f t="shared" si="136"/>
        <v>25023.968779999996</v>
      </c>
      <c r="BG58" s="41">
        <f t="shared" si="136"/>
        <v>44656.183579999997</v>
      </c>
      <c r="BH58" s="41">
        <f t="shared" si="136"/>
        <v>60388.733380000005</v>
      </c>
      <c r="BI58" s="95"/>
      <c r="BJ58" s="54" t="s">
        <v>75</v>
      </c>
      <c r="BK58" s="30">
        <f>SUM(BK17:BK56)</f>
        <v>474119.36751999997</v>
      </c>
      <c r="BL58" s="41">
        <f t="shared" ref="BL58:BT58" si="137">SUM(BL17:BL56)</f>
        <v>0</v>
      </c>
      <c r="BM58" s="41">
        <f t="shared" si="137"/>
        <v>30683.290119999998</v>
      </c>
      <c r="BN58" s="41">
        <f t="shared" si="137"/>
        <v>72988.689780000001</v>
      </c>
      <c r="BO58" s="41">
        <f>SUM(BO17:BO56)</f>
        <v>107955.96116000001</v>
      </c>
      <c r="BP58" s="41">
        <f t="shared" si="137"/>
        <v>70938.047019999998</v>
      </c>
      <c r="BQ58" s="41">
        <f t="shared" si="137"/>
        <v>60240.996199999987</v>
      </c>
      <c r="BR58" s="41">
        <f t="shared" si="137"/>
        <v>22580.56366</v>
      </c>
      <c r="BS58" s="41">
        <f t="shared" si="137"/>
        <v>45943.764259999989</v>
      </c>
      <c r="BT58" s="41">
        <f t="shared" si="137"/>
        <v>62788.055319999992</v>
      </c>
      <c r="BU58" s="95"/>
      <c r="BV58" s="54" t="s">
        <v>75</v>
      </c>
      <c r="BW58" s="30">
        <f>SUM(BW17:BW56)</f>
        <v>437672.45239999995</v>
      </c>
      <c r="BX58" s="41">
        <f t="shared" ref="BX58" si="138">SUM(BX17:BX56)</f>
        <v>0</v>
      </c>
      <c r="BY58" s="41">
        <f t="shared" ref="BY58:CF58" si="139">SUM(BY17:BY56)</f>
        <v>34222.309980000005</v>
      </c>
      <c r="BZ58" s="41">
        <f t="shared" si="139"/>
        <v>77660.010959999985</v>
      </c>
      <c r="CA58" s="41">
        <f t="shared" si="139"/>
        <v>62669.922679999996</v>
      </c>
      <c r="CB58" s="41">
        <f t="shared" si="139"/>
        <v>69426.37156</v>
      </c>
      <c r="CC58" s="41">
        <f t="shared" si="139"/>
        <v>60984.277299999994</v>
      </c>
      <c r="CD58" s="41">
        <f t="shared" si="139"/>
        <v>22850.326399999994</v>
      </c>
      <c r="CE58" s="41">
        <f t="shared" si="139"/>
        <v>46532.924139999988</v>
      </c>
      <c r="CF58" s="41">
        <f t="shared" si="139"/>
        <v>63326.309379999999</v>
      </c>
      <c r="CG58" s="95"/>
      <c r="CH58" s="54" t="s">
        <v>75</v>
      </c>
      <c r="CI58" s="30">
        <f>SUM(CI17:CI56)</f>
        <v>481633.11338000005</v>
      </c>
      <c r="CJ58" s="41">
        <f t="shared" ref="CJ58:CR58" si="140">SUM(CJ17:CJ56)</f>
        <v>0</v>
      </c>
      <c r="CK58" s="41">
        <f>SUM(CK17:CK56)</f>
        <v>30609.101060000005</v>
      </c>
      <c r="CL58" s="41">
        <f>SUM(CL17:CL56)</f>
        <v>71488.167860000001</v>
      </c>
      <c r="CM58" s="41">
        <f>SUM(CM17:CM56)</f>
        <v>139465.70785999999</v>
      </c>
      <c r="CN58" s="41">
        <f>SUM(CN17:CN56)</f>
        <v>68731.248639999991</v>
      </c>
      <c r="CO58" s="41">
        <f t="shared" si="140"/>
        <v>53987.703479999989</v>
      </c>
      <c r="CP58" s="41">
        <f t="shared" si="140"/>
        <v>20233.207299999998</v>
      </c>
      <c r="CQ58" s="41">
        <f t="shared" si="140"/>
        <v>41140.623619999984</v>
      </c>
      <c r="CR58" s="41">
        <f t="shared" si="140"/>
        <v>55977.353559999996</v>
      </c>
      <c r="CS58" s="95"/>
      <c r="CT58" s="54" t="s">
        <v>75</v>
      </c>
      <c r="CU58" s="30">
        <f>SUM(CU17:CU56)</f>
        <v>421939.74252000009</v>
      </c>
      <c r="CV58" s="41">
        <f t="shared" ref="CV58:DD58" si="141">SUM(CV17:CV56)</f>
        <v>0</v>
      </c>
      <c r="CW58" s="41">
        <f t="shared" si="141"/>
        <v>33011.73272</v>
      </c>
      <c r="CX58" s="41">
        <f t="shared" si="141"/>
        <v>77674.022960000002</v>
      </c>
      <c r="CY58" s="41">
        <f t="shared" si="141"/>
        <v>72925.091140000004</v>
      </c>
      <c r="CZ58" s="41">
        <f t="shared" si="141"/>
        <v>65536.247240000012</v>
      </c>
      <c r="DA58" s="41">
        <f t="shared" si="141"/>
        <v>54374.860379999984</v>
      </c>
      <c r="DB58" s="41">
        <f t="shared" si="141"/>
        <v>20333.360779999999</v>
      </c>
      <c r="DC58" s="41">
        <f t="shared" si="141"/>
        <v>41779.046159999998</v>
      </c>
      <c r="DD58" s="41">
        <f t="shared" si="141"/>
        <v>56305.38113999999</v>
      </c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</row>
  </sheetData>
  <mergeCells count="20">
    <mergeCell ref="CI2:CR2"/>
    <mergeCell ref="CG15:CH15"/>
    <mergeCell ref="CU2:DD2"/>
    <mergeCell ref="CS15:CT15"/>
    <mergeCell ref="BW2:CF2"/>
    <mergeCell ref="BU15:BV15"/>
    <mergeCell ref="BK2:BT2"/>
    <mergeCell ref="BI15:BJ15"/>
    <mergeCell ref="A1:L1"/>
    <mergeCell ref="C2:L2"/>
    <mergeCell ref="O2:X2"/>
    <mergeCell ref="AA2:AJ2"/>
    <mergeCell ref="A5:C5"/>
    <mergeCell ref="AY2:BH2"/>
    <mergeCell ref="AW15:AX15"/>
    <mergeCell ref="A15:B15"/>
    <mergeCell ref="M15:N15"/>
    <mergeCell ref="Y15:Z15"/>
    <mergeCell ref="AM2:AV2"/>
    <mergeCell ref="AK15:AL15"/>
  </mergeCells>
  <pageMargins left="0.11811023622047245" right="0.11811023622047245" top="0.55118110236220474" bottom="0.55118110236220474" header="0.11811023622047245" footer="0.1181102362204724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2012-06-05T13:23:50Z</cp:lastPrinted>
  <dcterms:created xsi:type="dcterms:W3CDTF">2012-03-13T11:10:59Z</dcterms:created>
  <dcterms:modified xsi:type="dcterms:W3CDTF">2012-09-24T10:29:26Z</dcterms:modified>
</cp:coreProperties>
</file>